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comments3.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xl/comments2.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3"/>
  <workbookPr codeName="DieseArbeitsmappe"/>
  <mc:AlternateContent xmlns:mc="http://schemas.openxmlformats.org/markup-compatibility/2006">
    <mc:Choice Requires="x15">
      <x15ac:absPath xmlns:x15ac="http://schemas.microsoft.com/office/spreadsheetml/2010/11/ac" url="C:\Users\Hißnauer\Desktop\Präsentationen\Schulung Kalkulation ambulate Jugendhilfe\"/>
    </mc:Choice>
  </mc:AlternateContent>
  <xr:revisionPtr revIDLastSave="0" documentId="13_ncr:1_{FD1C2224-749F-4199-A56A-0F3D20C6C807}" xr6:coauthVersionLast="36" xr6:coauthVersionMax="36" xr10:uidLastSave="{00000000-0000-0000-0000-000000000000}"/>
  <workbookProtection workbookAlgorithmName="SHA-512" workbookHashValue="a2sL3iCOJ6N0D+VbETgo8WC/wW62E7cu0DouDQwLhjE1J6B2dKbw2/eM9yRw7Fzedl8LBeln2QplCbq0Z0lmGA==" workbookSaltValue="lqmlzTMfvShAXxJQzZ8m+Q==" workbookSpinCount="100000" lockStructure="1"/>
  <bookViews>
    <workbookView xWindow="0" yWindow="0" windowWidth="17250" windowHeight="5550" tabRatio="754" xr2:uid="{00000000-000D-0000-FFFF-FFFF00000000}"/>
  </bookViews>
  <sheets>
    <sheet name="Kalkulationsblatt" sheetId="7" r:id="rId1"/>
    <sheet name="PK Zusammenfassung" sheetId="1" r:id="rId2"/>
    <sheet name="Berechnung verfügbare AZ" sheetId="12" r:id="rId3"/>
    <sheet name="PK AN-Brutto" sheetId="2" r:id="rId4"/>
    <sheet name="PK Zeitzuschläge" sheetId="3" r:id="rId5"/>
    <sheet name="PK AG_Brutto" sheetId="4" r:id="rId6"/>
    <sheet name="Anlagenverzeichnis" sheetId="8" r:id="rId7"/>
  </sheets>
  <definedNames>
    <definedName name="_xlnm.Print_Area" localSheetId="0">Kalkulationsblatt!$A$1:$G$117</definedName>
    <definedName name="_xlnm.Print_Area" localSheetId="5">'PK AG_Brutto'!$A$2:$L$42,'PK AG_Brutto'!$N$21:$O$42</definedName>
    <definedName name="_xlnm.Print_Area" localSheetId="3">'PK AN-Brutto'!$A$5:$X$31</definedName>
    <definedName name="_xlnm.Print_Area" localSheetId="4">'PK Zeitzuschläge'!$A$2:$M$51</definedName>
    <definedName name="_xlnm.Print_Area" localSheetId="1">'PK Zusammenfassung'!$A$2:$N$33</definedName>
    <definedName name="_xlnm.Print_Titles" localSheetId="5">'PK AG_Brutto'!$2:$3</definedName>
    <definedName name="_xlnm.Print_Titles" localSheetId="3">'PK AN-Brutto'!$A:$C,'PK AN-Brutto'!$5:$6</definedName>
    <definedName name="_xlnm.Print_Titles" localSheetId="1">'PK Zusammenfassung'!$2:$8</definedName>
  </definedNames>
  <calcPr calcId="191029"/>
</workbook>
</file>

<file path=xl/calcChain.xml><?xml version="1.0" encoding="utf-8"?>
<calcChain xmlns="http://schemas.openxmlformats.org/spreadsheetml/2006/main">
  <c r="C9" i="1" l="1"/>
  <c r="B109" i="7" l="1"/>
  <c r="E19" i="1"/>
  <c r="D19" i="1"/>
  <c r="E18" i="1"/>
  <c r="D18" i="1"/>
  <c r="E17" i="1"/>
  <c r="D17" i="1"/>
  <c r="E16" i="1"/>
  <c r="D16" i="1"/>
  <c r="E15" i="1"/>
  <c r="D15" i="1"/>
  <c r="J18" i="2"/>
  <c r="P18" i="2" s="1"/>
  <c r="Q18" i="2" s="1"/>
  <c r="W18" i="2" s="1"/>
  <c r="X18" i="2" s="1"/>
  <c r="J17" i="2"/>
  <c r="J16" i="2"/>
  <c r="P16" i="2" s="1"/>
  <c r="Q16" i="2" s="1"/>
  <c r="W16" i="2" s="1"/>
  <c r="X16" i="2" s="1"/>
  <c r="J15" i="2"/>
  <c r="P15" i="2" s="1"/>
  <c r="Q15" i="2" s="1"/>
  <c r="I15" i="2"/>
  <c r="J14" i="2"/>
  <c r="P14" i="2" s="1"/>
  <c r="I14" i="2"/>
  <c r="V15" i="2"/>
  <c r="V14" i="2"/>
  <c r="T15" i="2"/>
  <c r="P17" i="2"/>
  <c r="Q17" i="2" s="1"/>
  <c r="W17" i="2" s="1"/>
  <c r="X17" i="2" s="1"/>
  <c r="J13" i="4"/>
  <c r="J12" i="4"/>
  <c r="J11" i="4"/>
  <c r="C11" i="4"/>
  <c r="C14" i="2"/>
  <c r="W15" i="2" l="1"/>
  <c r="X15" i="2" s="1"/>
  <c r="Q14" i="2"/>
  <c r="T14" i="2"/>
  <c r="W14" i="2" l="1"/>
  <c r="D11" i="4" s="1"/>
  <c r="X14" i="2" l="1"/>
  <c r="E23" i="3" l="1"/>
  <c r="F23" i="3" s="1"/>
  <c r="E22" i="3"/>
  <c r="F22" i="3" s="1"/>
  <c r="E21" i="3"/>
  <c r="F21" i="3" s="1"/>
  <c r="E20" i="3"/>
  <c r="F20" i="3" s="1"/>
  <c r="E19" i="3"/>
  <c r="F19" i="3" s="1"/>
  <c r="E18" i="3"/>
  <c r="F18" i="3" s="1"/>
  <c r="E17" i="3"/>
  <c r="F17" i="3" s="1"/>
  <c r="E16" i="3"/>
  <c r="F16" i="3" s="1"/>
  <c r="E15" i="3"/>
  <c r="F15" i="3" s="1"/>
  <c r="E14" i="3"/>
  <c r="F14" i="3" s="1"/>
  <c r="E13" i="3"/>
  <c r="F13" i="3" s="1"/>
  <c r="E12" i="3"/>
  <c r="F12" i="3" s="1"/>
  <c r="E11" i="3"/>
  <c r="F11" i="3" s="1"/>
  <c r="E10" i="3"/>
  <c r="F10" i="3" s="1"/>
  <c r="E9" i="3"/>
  <c r="F9" i="3" s="1"/>
  <c r="E8" i="3"/>
  <c r="F8" i="3" s="1"/>
  <c r="E7" i="3"/>
  <c r="F7" i="3" s="1"/>
  <c r="E6" i="3"/>
  <c r="F6" i="3" s="1"/>
  <c r="E5" i="3"/>
  <c r="F5" i="3" s="1"/>
  <c r="B72" i="12" l="1"/>
  <c r="A2" i="12"/>
  <c r="C5" i="4" l="1"/>
  <c r="B27" i="3"/>
  <c r="C8" i="2"/>
  <c r="B35" i="7"/>
  <c r="B34" i="7"/>
  <c r="B50" i="7" l="1"/>
  <c r="A1" i="7"/>
  <c r="A1" i="8"/>
  <c r="C1" i="4"/>
  <c r="B1" i="3"/>
  <c r="C1" i="2"/>
  <c r="B1" i="12"/>
  <c r="C2" i="1"/>
  <c r="C1" i="1"/>
  <c r="C42" i="12" l="1"/>
  <c r="D42" i="12"/>
  <c r="C32" i="1" l="1"/>
  <c r="C31" i="1"/>
  <c r="C28" i="1"/>
  <c r="C23" i="1"/>
  <c r="C18" i="4" s="1"/>
  <c r="G32" i="1"/>
  <c r="G31" i="1"/>
  <c r="E30" i="1"/>
  <c r="E29" i="1"/>
  <c r="E28" i="1"/>
  <c r="D30" i="1"/>
  <c r="D29" i="1"/>
  <c r="D28" i="1"/>
  <c r="C30" i="1"/>
  <c r="C24" i="4" s="1"/>
  <c r="C29" i="1"/>
  <c r="C23" i="4" s="1"/>
  <c r="E24" i="1"/>
  <c r="E23" i="1"/>
  <c r="D24" i="1"/>
  <c r="D23" i="1"/>
  <c r="C24" i="1"/>
  <c r="C19" i="4" s="1"/>
  <c r="A2" i="7" l="1"/>
  <c r="F34" i="3" l="1"/>
  <c r="F33" i="3"/>
  <c r="F32" i="3"/>
  <c r="F31" i="3"/>
  <c r="F30" i="3"/>
  <c r="D34" i="3"/>
  <c r="D33" i="3"/>
  <c r="K14" i="1" l="1"/>
  <c r="K13" i="1"/>
  <c r="K12" i="1"/>
  <c r="K11" i="1"/>
  <c r="K10" i="1"/>
  <c r="I32" i="1" l="1"/>
  <c r="O32" i="1" s="1"/>
  <c r="I31" i="1"/>
  <c r="O31" i="1" s="1"/>
  <c r="C6" i="12" l="1"/>
  <c r="F4" i="1"/>
  <c r="H60" i="12"/>
  <c r="H58" i="12"/>
  <c r="H57" i="12"/>
  <c r="H55" i="12"/>
  <c r="H54" i="12"/>
  <c r="H52" i="12"/>
  <c r="H51" i="12"/>
  <c r="D30" i="3" l="1"/>
  <c r="D32" i="3"/>
  <c r="D31" i="3"/>
  <c r="H23" i="12"/>
  <c r="G23" i="12"/>
  <c r="C7" i="12" l="1"/>
  <c r="C61" i="12"/>
  <c r="E21" i="12"/>
  <c r="E20" i="12"/>
  <c r="E19" i="12"/>
  <c r="E18" i="12"/>
  <c r="C8" i="12"/>
  <c r="C21" i="12" l="1"/>
  <c r="D22" i="12"/>
  <c r="C20" i="12"/>
  <c r="C19" i="12"/>
  <c r="C9" i="12"/>
  <c r="C18" i="12"/>
  <c r="E22" i="12" l="1"/>
  <c r="E23" i="12" s="1"/>
  <c r="D23" i="12"/>
  <c r="H53" i="12"/>
  <c r="C50" i="3"/>
  <c r="H59" i="12"/>
  <c r="H56" i="12"/>
  <c r="C22" i="12"/>
  <c r="C23" i="12" s="1"/>
  <c r="E54" i="12" l="1"/>
  <c r="E57" i="12"/>
  <c r="E56" i="12"/>
  <c r="E55" i="12"/>
  <c r="E53" i="12"/>
  <c r="E60" i="12"/>
  <c r="E52" i="12"/>
  <c r="E59" i="12"/>
  <c r="E51" i="12"/>
  <c r="E58" i="12"/>
  <c r="E36" i="12"/>
  <c r="E34" i="12"/>
  <c r="E41" i="12"/>
  <c r="E31" i="12"/>
  <c r="E29" i="12"/>
  <c r="E35" i="12"/>
  <c r="E33" i="12"/>
  <c r="E38" i="12"/>
  <c r="E37" i="12"/>
  <c r="E40" i="12"/>
  <c r="E32" i="12"/>
  <c r="E39" i="12"/>
  <c r="E30" i="12"/>
  <c r="H61" i="12"/>
  <c r="D68" i="12" s="1"/>
  <c r="D61" i="12"/>
  <c r="E61" i="12" l="1"/>
  <c r="E42" i="12"/>
  <c r="C43" i="12" s="1"/>
  <c r="C68" i="12"/>
  <c r="E14" i="1" l="1"/>
  <c r="D14" i="1"/>
  <c r="C14" i="1"/>
  <c r="E13" i="1"/>
  <c r="D13" i="1"/>
  <c r="C13" i="1"/>
  <c r="E12" i="1"/>
  <c r="D12" i="1"/>
  <c r="C12" i="1"/>
  <c r="E11" i="1"/>
  <c r="D11" i="1"/>
  <c r="C11" i="1"/>
  <c r="E10" i="1"/>
  <c r="D10" i="1"/>
  <c r="V27" i="2" l="1"/>
  <c r="V26" i="2"/>
  <c r="V25" i="2"/>
  <c r="V22" i="2"/>
  <c r="V21" i="2"/>
  <c r="V13" i="2"/>
  <c r="V12" i="2"/>
  <c r="T13" i="2" l="1"/>
  <c r="T12" i="2"/>
  <c r="H37" i="3" l="1"/>
  <c r="B34" i="3" l="1"/>
  <c r="I27" i="2"/>
  <c r="J27" i="2"/>
  <c r="P27" i="2" s="1"/>
  <c r="Q27" i="2" s="1"/>
  <c r="T27" i="2"/>
  <c r="I13" i="2"/>
  <c r="J13" i="2" s="1"/>
  <c r="G34" i="3" s="1"/>
  <c r="H34" i="3" s="1"/>
  <c r="J24" i="4"/>
  <c r="C10" i="4"/>
  <c r="J10" i="4"/>
  <c r="W27" i="2" l="1"/>
  <c r="M26" i="4"/>
  <c r="M15" i="4"/>
  <c r="M14" i="4"/>
  <c r="F22" i="8"/>
  <c r="F21" i="8"/>
  <c r="F20" i="8"/>
  <c r="F19" i="8"/>
  <c r="F18" i="8"/>
  <c r="F17" i="8"/>
  <c r="F16" i="8"/>
  <c r="F14" i="8"/>
  <c r="F13" i="8"/>
  <c r="F12" i="8"/>
  <c r="F11" i="8"/>
  <c r="D22" i="8"/>
  <c r="D21" i="8"/>
  <c r="D20" i="8"/>
  <c r="D19" i="8"/>
  <c r="D18" i="8"/>
  <c r="D17" i="8"/>
  <c r="D16" i="8"/>
  <c r="D14" i="8"/>
  <c r="D13" i="8"/>
  <c r="D12" i="8"/>
  <c r="D11" i="8"/>
  <c r="D10" i="8"/>
  <c r="F10" i="8" s="1"/>
  <c r="D9" i="8"/>
  <c r="F9" i="8" s="1"/>
  <c r="D8" i="8"/>
  <c r="F8" i="8" s="1"/>
  <c r="D15" i="8"/>
  <c r="F15" i="8" s="1"/>
  <c r="J25" i="4"/>
  <c r="J23" i="4"/>
  <c r="J22" i="4"/>
  <c r="J19" i="4"/>
  <c r="J18" i="4"/>
  <c r="J9" i="4"/>
  <c r="J8" i="4"/>
  <c r="J7" i="4"/>
  <c r="X27" i="2" l="1"/>
  <c r="D24" i="4"/>
  <c r="J29" i="2"/>
  <c r="G24" i="4" l="1"/>
  <c r="H24" i="4" s="1"/>
  <c r="M24" i="4" s="1"/>
  <c r="L24" i="4" s="1"/>
  <c r="G30" i="1" s="1"/>
  <c r="F24" i="4"/>
  <c r="I30" i="1" l="1"/>
  <c r="O30" i="1" s="1"/>
  <c r="J28" i="2"/>
  <c r="I26" i="2"/>
  <c r="J26" i="2" s="1"/>
  <c r="I25" i="2"/>
  <c r="J25" i="2" s="1"/>
  <c r="I22" i="2"/>
  <c r="J22" i="2" s="1"/>
  <c r="I21" i="2"/>
  <c r="J21" i="2" s="1"/>
  <c r="I12" i="2"/>
  <c r="J12" i="2" s="1"/>
  <c r="I11" i="2"/>
  <c r="J11" i="2" s="1"/>
  <c r="I10" i="2"/>
  <c r="J10" i="2" s="1"/>
  <c r="I9" i="2"/>
  <c r="J9" i="2" s="1"/>
  <c r="T23" i="4" l="1"/>
  <c r="S27" i="4" s="1"/>
  <c r="C26" i="4" l="1"/>
  <c r="C25" i="4"/>
  <c r="C22" i="4"/>
  <c r="C15" i="4"/>
  <c r="C14" i="4"/>
  <c r="C13" i="4"/>
  <c r="C12" i="4"/>
  <c r="C9" i="4"/>
  <c r="C8" i="4"/>
  <c r="C29" i="2"/>
  <c r="C28" i="2"/>
  <c r="C18" i="2"/>
  <c r="C17" i="2"/>
  <c r="C16" i="2"/>
  <c r="C15" i="2"/>
  <c r="B32" i="3" l="1"/>
  <c r="B33" i="3"/>
  <c r="T33" i="4" l="1"/>
  <c r="S28" i="4"/>
  <c r="S24" i="4"/>
  <c r="S25" i="4" l="1"/>
  <c r="S26" i="4"/>
  <c r="S29" i="4" l="1"/>
  <c r="S30" i="4"/>
  <c r="T30" i="4" s="1"/>
  <c r="P29" i="2"/>
  <c r="P28" i="2"/>
  <c r="Q28" i="2" s="1"/>
  <c r="P26" i="2"/>
  <c r="P25" i="2"/>
  <c r="P22" i="2"/>
  <c r="P21" i="2"/>
  <c r="Q26" i="2" l="1"/>
  <c r="T26" i="2"/>
  <c r="Q25" i="2"/>
  <c r="T25" i="2"/>
  <c r="W25" i="2" s="1"/>
  <c r="X25" i="2" s="1"/>
  <c r="Q21" i="2"/>
  <c r="T21" i="2"/>
  <c r="W21" i="2" s="1"/>
  <c r="X21" i="2" s="1"/>
  <c r="Q22" i="2"/>
  <c r="T22" i="2"/>
  <c r="Q29" i="2"/>
  <c r="W29" i="2" s="1"/>
  <c r="X29" i="2" s="1"/>
  <c r="T32" i="4"/>
  <c r="T31" i="4"/>
  <c r="W28" i="2"/>
  <c r="X28" i="2" s="1"/>
  <c r="W22" i="2" l="1"/>
  <c r="X22" i="2" s="1"/>
  <c r="W26" i="2"/>
  <c r="X26" i="2" s="1"/>
  <c r="D15" i="4"/>
  <c r="L15" i="4" s="1"/>
  <c r="G19" i="1" s="1"/>
  <c r="D14" i="4"/>
  <c r="L14" i="4" s="1"/>
  <c r="G18" i="1" s="1"/>
  <c r="D13" i="4"/>
  <c r="D12" i="4"/>
  <c r="L27" i="1"/>
  <c r="L22" i="1"/>
  <c r="F23" i="8"/>
  <c r="F25" i="8" s="1"/>
  <c r="E87" i="7" s="1"/>
  <c r="D23" i="8"/>
  <c r="D25" i="8" s="1"/>
  <c r="E99" i="7"/>
  <c r="E67" i="7"/>
  <c r="E59" i="7"/>
  <c r="L13" i="4" l="1"/>
  <c r="G17" i="1" s="1"/>
  <c r="G13" i="4"/>
  <c r="H13" i="4" s="1"/>
  <c r="L12" i="4"/>
  <c r="G16" i="1" s="1"/>
  <c r="G12" i="4"/>
  <c r="H12" i="4" s="1"/>
  <c r="F12" i="4"/>
  <c r="E69" i="7"/>
  <c r="O14" i="4" l="1"/>
  <c r="G11" i="4" s="1"/>
  <c r="H11" i="4" s="1"/>
  <c r="F3" i="4" l="1"/>
  <c r="F11" i="4" s="1"/>
  <c r="L11" i="4" s="1"/>
  <c r="G15" i="1" s="1"/>
  <c r="T29" i="4"/>
  <c r="T34" i="4" s="1"/>
  <c r="T35" i="4" s="1"/>
  <c r="D26" i="4" l="1"/>
  <c r="L26" i="4" s="1"/>
  <c r="D25" i="4"/>
  <c r="D23" i="4"/>
  <c r="D22" i="4"/>
  <c r="D19" i="4"/>
  <c r="D18" i="4"/>
  <c r="J16" i="3"/>
  <c r="K16" i="3" s="1"/>
  <c r="J5" i="3"/>
  <c r="J6" i="3"/>
  <c r="J7" i="3"/>
  <c r="J8" i="3"/>
  <c r="J9" i="3"/>
  <c r="J10" i="3"/>
  <c r="J11" i="3"/>
  <c r="J12" i="3"/>
  <c r="J13" i="3"/>
  <c r="J15" i="3"/>
  <c r="K15" i="3" s="1"/>
  <c r="N15" i="3" s="1"/>
  <c r="J17" i="3"/>
  <c r="K17" i="3" s="1"/>
  <c r="N17" i="3" s="1"/>
  <c r="J18" i="3"/>
  <c r="K18" i="3" s="1"/>
  <c r="J19" i="3"/>
  <c r="K19" i="3" s="1"/>
  <c r="J20" i="3"/>
  <c r="K20" i="3" s="1"/>
  <c r="J21" i="3"/>
  <c r="J22" i="3"/>
  <c r="K22" i="3" s="1"/>
  <c r="J23" i="3"/>
  <c r="K23" i="3" s="1"/>
  <c r="G33" i="3"/>
  <c r="H33" i="3" s="1"/>
  <c r="N23" i="3" l="1"/>
  <c r="M23" i="3"/>
  <c r="N19" i="3"/>
  <c r="M19" i="3"/>
  <c r="N18" i="3"/>
  <c r="M18" i="3"/>
  <c r="N16" i="3"/>
  <c r="M16" i="3"/>
  <c r="N22" i="3"/>
  <c r="M22" i="3"/>
  <c r="N20" i="3"/>
  <c r="M20" i="3"/>
  <c r="G31" i="3"/>
  <c r="G19" i="4"/>
  <c r="H19" i="4" s="1"/>
  <c r="M19" i="4" s="1"/>
  <c r="G18" i="4"/>
  <c r="H18" i="4" s="1"/>
  <c r="M18" i="4" s="1"/>
  <c r="G22" i="4"/>
  <c r="H22" i="4" s="1"/>
  <c r="M22" i="4" s="1"/>
  <c r="G23" i="4"/>
  <c r="H23" i="4" s="1"/>
  <c r="M23" i="4" s="1"/>
  <c r="G25" i="4"/>
  <c r="H25" i="4" s="1"/>
  <c r="M25" i="4" s="1"/>
  <c r="L25" i="4" s="1"/>
  <c r="F19" i="4"/>
  <c r="F22" i="4"/>
  <c r="F23" i="4"/>
  <c r="F18" i="4"/>
  <c r="G32" i="3"/>
  <c r="G30" i="3"/>
  <c r="E25" i="4"/>
  <c r="H32" i="3" l="1"/>
  <c r="H31" i="3"/>
  <c r="H30" i="3"/>
  <c r="H35" i="3" s="1"/>
  <c r="L22" i="4"/>
  <c r="G28" i="1" s="1"/>
  <c r="L23" i="4"/>
  <c r="G29" i="1" s="1"/>
  <c r="L18" i="4"/>
  <c r="L19" i="4"/>
  <c r="M17" i="3"/>
  <c r="M15" i="3"/>
  <c r="G23" i="1" l="1"/>
  <c r="I23" i="1" s="1"/>
  <c r="O23" i="1" s="1"/>
  <c r="G24" i="1"/>
  <c r="I24" i="1" s="1"/>
  <c r="O24" i="1" s="1"/>
  <c r="K5" i="3"/>
  <c r="N5" i="3" s="1"/>
  <c r="I29" i="1"/>
  <c r="O29" i="1" s="1"/>
  <c r="K12" i="3"/>
  <c r="N12" i="3" s="1"/>
  <c r="K9" i="3"/>
  <c r="N9" i="3" s="1"/>
  <c r="K13" i="3"/>
  <c r="K21" i="3"/>
  <c r="N21" i="3" s="1"/>
  <c r="I28" i="1"/>
  <c r="K11" i="3" l="1"/>
  <c r="N11" i="3" s="1"/>
  <c r="K8" i="3"/>
  <c r="N8" i="3" s="1"/>
  <c r="K7" i="3"/>
  <c r="N7" i="3" s="1"/>
  <c r="K6" i="3"/>
  <c r="N6" i="3" s="1"/>
  <c r="K10" i="3"/>
  <c r="N10" i="3" s="1"/>
  <c r="O28" i="1"/>
  <c r="M9" i="3"/>
  <c r="M12" i="3"/>
  <c r="N13" i="3"/>
  <c r="M13" i="3"/>
  <c r="M5" i="3"/>
  <c r="M21" i="3"/>
  <c r="M12" i="4"/>
  <c r="M13" i="4"/>
  <c r="E13" i="4"/>
  <c r="M11" i="3" l="1"/>
  <c r="M8" i="3"/>
  <c r="M7" i="3"/>
  <c r="M6" i="3"/>
  <c r="M10" i="3"/>
  <c r="I15" i="1"/>
  <c r="O15" i="1" s="1"/>
  <c r="I18" i="1"/>
  <c r="O18" i="1" s="1"/>
  <c r="I19" i="1"/>
  <c r="O19" i="1" s="1"/>
  <c r="M31" i="3"/>
  <c r="I17" i="1" l="1"/>
  <c r="O17" i="1" s="1"/>
  <c r="I16" i="1" l="1"/>
  <c r="O16" i="1" s="1"/>
  <c r="J14" i="3" l="1"/>
  <c r="J24" i="3" l="1"/>
  <c r="B25" i="3" s="1"/>
  <c r="K14" i="3"/>
  <c r="N14" i="3" s="1"/>
  <c r="M14" i="3" l="1"/>
  <c r="M24" i="3" s="1"/>
  <c r="M30" i="3" s="1"/>
  <c r="M34" i="3" s="1"/>
  <c r="D50" i="3" l="1"/>
  <c r="G50" i="3" s="1"/>
  <c r="H50" i="3" s="1"/>
  <c r="H51" i="3" s="1"/>
  <c r="M36" i="3" l="1"/>
  <c r="M38" i="3" s="1"/>
  <c r="N12" i="2" l="1"/>
  <c r="P12" i="2" s="1"/>
  <c r="Q12" i="2" s="1"/>
  <c r="W12" i="2" s="1"/>
  <c r="X12" i="2" s="1"/>
  <c r="N13" i="2"/>
  <c r="P13" i="2" s="1"/>
  <c r="N11" i="2"/>
  <c r="P11" i="2" s="1"/>
  <c r="N10" i="2"/>
  <c r="P10" i="2" s="1"/>
  <c r="T10" i="2" s="1"/>
  <c r="N9" i="2"/>
  <c r="P9" i="2" s="1"/>
  <c r="T9" i="2" s="1"/>
  <c r="D9" i="4" l="1"/>
  <c r="Q11" i="2"/>
  <c r="V11" i="2" s="1"/>
  <c r="T11" i="2"/>
  <c r="Q10" i="2"/>
  <c r="V10" i="2" s="1"/>
  <c r="Q13" i="2"/>
  <c r="W13" i="2" s="1"/>
  <c r="Q9" i="2"/>
  <c r="V9" i="2" l="1"/>
  <c r="W9" i="2" s="1"/>
  <c r="G9" i="4"/>
  <c r="H9" i="4" s="1"/>
  <c r="M9" i="4" s="1"/>
  <c r="F9" i="4"/>
  <c r="W11" i="2"/>
  <c r="W10" i="2"/>
  <c r="X10" i="2" s="1"/>
  <c r="L9" i="4"/>
  <c r="X13" i="2"/>
  <c r="D10" i="4"/>
  <c r="F10" i="4" s="1"/>
  <c r="D6" i="4" l="1"/>
  <c r="X9" i="2"/>
  <c r="G13" i="1"/>
  <c r="I13" i="1" s="1"/>
  <c r="O13" i="1" s="1"/>
  <c r="X11" i="2"/>
  <c r="D8" i="4"/>
  <c r="F8" i="4" s="1"/>
  <c r="D7" i="4"/>
  <c r="F7" i="4" s="1"/>
  <c r="G10" i="4"/>
  <c r="H10" i="4" s="1"/>
  <c r="M10" i="4" s="1"/>
  <c r="F6" i="4" l="1"/>
  <c r="J6" i="4"/>
  <c r="G6" i="4"/>
  <c r="H6" i="4" s="1"/>
  <c r="M6" i="4" s="1"/>
  <c r="G8" i="4"/>
  <c r="H8" i="4" s="1"/>
  <c r="M8" i="4" s="1"/>
  <c r="G7" i="4"/>
  <c r="H7" i="4" s="1"/>
  <c r="M7" i="4" s="1"/>
  <c r="L7" i="4" s="1"/>
  <c r="L10" i="4"/>
  <c r="L6" i="4" l="1"/>
  <c r="G10" i="1" s="1"/>
  <c r="I10" i="1" s="1"/>
  <c r="G14" i="1"/>
  <c r="I14" i="1" s="1"/>
  <c r="O14" i="1" s="1"/>
  <c r="G11" i="1"/>
  <c r="I11" i="1" s="1"/>
  <c r="O11" i="1" s="1"/>
  <c r="L8" i="4"/>
  <c r="O10" i="1" l="1"/>
  <c r="G12" i="1"/>
  <c r="I12" i="1" s="1"/>
  <c r="N15" i="1" s="1"/>
  <c r="K15" i="1" s="1"/>
  <c r="L9" i="1" s="1"/>
  <c r="C11" i="12" l="1"/>
  <c r="O12" i="1"/>
  <c r="O9" i="1" s="1"/>
  <c r="J9" i="1" s="1"/>
  <c r="C45" i="12" l="1"/>
  <c r="C66" i="12" s="1"/>
  <c r="C67" i="12" s="1"/>
  <c r="D45" i="12"/>
  <c r="D66" i="12" s="1"/>
  <c r="D67" i="12" s="1"/>
  <c r="D72" i="12" s="1"/>
  <c r="B23" i="7" s="1"/>
  <c r="E25" i="7" s="1"/>
  <c r="J22" i="1"/>
  <c r="J27" i="1"/>
  <c r="E35" i="7"/>
  <c r="F35" i="7" l="1"/>
  <c r="F79" i="7"/>
  <c r="F55" i="7"/>
  <c r="F85" i="7"/>
  <c r="F41" i="7"/>
  <c r="F89" i="7"/>
  <c r="F83" i="7"/>
  <c r="F53" i="7"/>
  <c r="F95" i="7"/>
  <c r="F65" i="7"/>
  <c r="F51" i="7"/>
  <c r="F87" i="7"/>
  <c r="F69" i="7"/>
  <c r="F59" i="7"/>
  <c r="F81" i="7"/>
  <c r="F57" i="7"/>
  <c r="F97" i="7"/>
  <c r="F63" i="7"/>
  <c r="F67" i="7"/>
  <c r="F77" i="7"/>
  <c r="F99" i="7"/>
  <c r="E37" i="7"/>
  <c r="F37" i="7" s="1"/>
  <c r="J35" i="1"/>
  <c r="P18" i="4" s="1"/>
  <c r="I41" i="7" s="1"/>
  <c r="E39" i="7"/>
  <c r="F39" i="7" s="1"/>
  <c r="E43" i="7" l="1"/>
  <c r="F43" i="7" s="1"/>
  <c r="C10" i="1"/>
  <c r="E104" i="7" l="1"/>
  <c r="F104" i="7" s="1"/>
  <c r="B30" i="3"/>
  <c r="C6" i="4"/>
  <c r="B31" i="3"/>
  <c r="C7" i="4" l="1"/>
  <c r="E91" i="7" l="1"/>
  <c r="F91" i="7" s="1"/>
  <c r="E101" i="7" l="1"/>
  <c r="F101" i="7" s="1"/>
  <c r="E106" i="7" l="1"/>
  <c r="E109" i="7" l="1"/>
  <c r="F109" i="7" s="1"/>
  <c r="F10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Stefan Gerland</author>
    <author>Hißnauer, Stefan (bpa)</author>
  </authors>
  <commentList>
    <comment ref="B18" authorId="0" shapeId="0" xr:uid="{00000000-0006-0000-0000-000001000000}">
      <text>
        <r>
          <rPr>
            <sz val="8"/>
            <color indexed="81"/>
            <rFont val="Tahoma"/>
            <family val="2"/>
          </rPr>
          <t xml:space="preserve">z.B. e.V., Stiftung, GmbH, GbR, UG
</t>
        </r>
      </text>
    </comment>
    <comment ref="E18" authorId="0" shapeId="0" xr:uid="{00000000-0006-0000-0000-000002000000}">
      <text>
        <r>
          <rPr>
            <sz val="8"/>
            <color indexed="81"/>
            <rFont val="Tahoma"/>
            <family val="2"/>
          </rPr>
          <t xml:space="preserve">AWO, bpa, Caritas, DPWV, DRK, DW, JW, u.a.
</t>
        </r>
      </text>
    </comment>
    <comment ref="E22" authorId="0" shapeId="0" xr:uid="{BC3C545E-BAA9-4A2D-9D2D-6FB353705BA5}">
      <text>
        <r>
          <rPr>
            <sz val="8"/>
            <color indexed="81"/>
            <rFont val="Tahoma"/>
            <family val="2"/>
          </rPr>
          <t>Im Dropdown-Feld ist zwischen der Qualifikation der Betreuungskräfte zu wählen:
Fachkräfte
sonstige Kräfte</t>
        </r>
      </text>
    </comment>
    <comment ref="B24" authorId="0" shapeId="0" xr:uid="{56640573-4446-4895-A399-B77D3ED2188B}">
      <text>
        <r>
          <rPr>
            <sz val="8"/>
            <color indexed="81"/>
            <rFont val="Tahoma"/>
            <family val="2"/>
          </rPr>
          <t>Der Auslastungsgrad wird für den Kalkulationszeitraum vereinbart.
Das wirtschaftliche Risiko (Wagnis und Gewinn) der Einrichtungen und Dienste ist bei der Bemessung des Auslastungsgrades zu berücksichtigen, um ihnen wirtschaftliches Handeln zu ermöglichen.</t>
        </r>
      </text>
    </comment>
    <comment ref="E24" authorId="0" shapeId="0" xr:uid="{2DE07EEB-9FB0-4244-AC9F-957C1D1B9056}">
      <text>
        <r>
          <rPr>
            <sz val="8"/>
            <color indexed="81"/>
            <rFont val="Tahoma"/>
            <family val="2"/>
          </rPr>
          <t>Die Berechnungstage werden wie folgt ermittelt:
Platzzahl x Basistage x Auslastungsgrad = 
Berechnungstage</t>
        </r>
        <r>
          <rPr>
            <b/>
            <sz val="8"/>
            <color indexed="81"/>
            <rFont val="Tahoma"/>
            <family val="2"/>
          </rPr>
          <t xml:space="preserve">
</t>
        </r>
        <r>
          <rPr>
            <sz val="8"/>
            <color indexed="81"/>
            <rFont val="Tahoma"/>
            <family val="2"/>
          </rPr>
          <t xml:space="preserve">
</t>
        </r>
      </text>
    </comment>
    <comment ref="E30" authorId="0" shapeId="0" xr:uid="{00000000-0006-0000-0000-000009000000}">
      <text>
        <r>
          <rPr>
            <sz val="8"/>
            <color indexed="81"/>
            <rFont val="Tahoma"/>
            <family val="2"/>
          </rPr>
          <t>Einzusetzen sind die prospektiv ermittelten Aufwendungen für den zugrunde gelegten Kalkulationszeitraum.</t>
        </r>
        <r>
          <rPr>
            <b/>
            <sz val="8"/>
            <color indexed="81"/>
            <rFont val="Tahoma"/>
            <family val="2"/>
          </rPr>
          <t xml:space="preserve">
</t>
        </r>
        <r>
          <rPr>
            <sz val="8"/>
            <color indexed="81"/>
            <rFont val="Tahoma"/>
            <family val="2"/>
          </rPr>
          <t xml:space="preserve">
</t>
        </r>
      </text>
    </comment>
    <comment ref="F30" authorId="0" shapeId="0" xr:uid="{00000000-0006-0000-0000-00000A000000}">
      <text>
        <r>
          <rPr>
            <sz val="8"/>
            <color indexed="81"/>
            <rFont val="Tahoma"/>
            <family val="2"/>
          </rPr>
          <t>Kalkulatorischer Aufwand bei Berechnungstag:
Sie sind zu ermitteln durch Division. Divisor ist die Zahl bei Nr. (9) eingesetzten Berechnungstage.
Beträgt die 2. Stelle nach dem Komma vier und weniger, dann bleibt sie unberücksichtigt; beträgt sie fünf und mehr, dann ist die 1. Stelle nach dem Komma aufzurunden.</t>
        </r>
      </text>
    </comment>
    <comment ref="B34" authorId="1" shapeId="0" xr:uid="{00000000-0006-0000-0000-00000B000000}">
      <text>
        <r>
          <rPr>
            <sz val="8"/>
            <color indexed="81"/>
            <rFont val="Tahoma"/>
            <family val="2"/>
          </rPr>
          <t>Der Personalaufwand ist nach den vorgegebenen Bereiche zu gliedern.
a) Bruttogehälter, Bruttolöhne, Sonderzuwendungen und Lohn- und
    Kirchensteuer, wenn der/die Arbeitgeber:in die Bauschalversteuerung zu
    seinen Lasten gewählt hat;
b) Arbeitgeberanteile zu den Sozialversicherungen (Krankenkasse,
    Renten- und Arbeitslosenversicherung, PflegeVersicherung);
c) Beiträge zur zusätzlichen Altersversorgung einschließlich Pensions-
   kassen, entsprechend dem Tarifwerk des jeweiligen Trägers. Für Träger,
   die nicht an eine öffentliche rechtliche Altersversorgung gebunden sind, ist
   Richtwert der ZVK-Beitrag für den öffentlichen Dienst;
d) Trennungsentschädigungen, Umzugsvergütungen, nach hessischen Lan-
    desregelungen.</t>
        </r>
      </text>
    </comment>
    <comment ref="B41" authorId="0" shapeId="0" xr:uid="{00000000-0006-0000-0000-00000C000000}">
      <text>
        <r>
          <rPr>
            <sz val="8"/>
            <color indexed="81"/>
            <rFont val="Tahoma"/>
            <family val="2"/>
          </rPr>
          <t xml:space="preserve">Personalnebenkosten sind z. B.:
a) Beiträge zur Berufsgenossenschaft
b) Ausgleichsabgabe
c) Reisekosten, Fahrgelder, Tagungsbeiträge
d) Berufsbezogene Fortbildung und Supervision
e) Personalwerbung und Personalbeschaffung
f) Gesetzlich erforderliche gesundheitliche Untersuchungs- u. Vorbeugemaßnahmen
g) Beihilfen nach hessischem Beihilferecht
</t>
        </r>
      </text>
    </comment>
    <comment ref="F43" authorId="1" shapeId="0" xr:uid="{00000000-0006-0000-0000-00000E000000}">
      <text>
        <r>
          <rPr>
            <sz val="8"/>
            <color indexed="81"/>
            <rFont val="Tahoma"/>
            <family val="2"/>
          </rPr>
          <t xml:space="preserve">Die Berechnung nach Position (9) der Erläuterungen zum Kalkulationsblatt (siehe Anmerkung Zelle F30) ist maßgeblich. Es kann sein, dass es zu Abweichungen kommt bei einer Addition der vorangehenden Werte!
</t>
        </r>
      </text>
    </comment>
    <comment ref="H49" authorId="2" shapeId="0" xr:uid="{25C3A717-DA30-4FD7-AADA-EAF94C41EC6A}">
      <text>
        <r>
          <rPr>
            <sz val="9"/>
            <color indexed="81"/>
            <rFont val="Segoe UI"/>
            <family val="2"/>
          </rPr>
          <t>Wenn in Zelle I50 ein Prozentwert eingetragen wird, übernimmt die Datei die pauschale Berechnung des Sachaufwands in Zelle E106. Soll der Sachaufwand differenziert kalkuliert werden, nehmen Sie keine Eintragung in Zelle I50 vor und tragen Ihre Daten in die folgenden Zeilen ein.</t>
        </r>
      </text>
    </comment>
    <comment ref="B51" authorId="0" shapeId="0" xr:uid="{00000000-0006-0000-0000-000010000000}">
      <text>
        <r>
          <rPr>
            <sz val="8"/>
            <color indexed="81"/>
            <rFont val="Tahoma"/>
            <family val="2"/>
          </rPr>
          <t xml:space="preserve">a)   Wasser
b)   Energie, Heizmaterial jeder Art (fester Brennstoffe, Öl, Gas)
c)   Treibstoffe und Schmiermittel
d)   Reinigungs- und Putzmaterial für Haus und Wäsche einschl. Hausverbrauchsmittel
e)   Gartenpflege einschlich Pflanzen und Sämereien
f)   sonstige weitere allgemeine Betriebskosten
g)   gesundheitliche Betreuung
h)   Fremdreinigung - Haus- und Fensterreinigung durch fremde Betriebe
i)    Fremdwäscherei - Reinigung, Pflege und Instandhaltung der Kleider und Wäsche
      des Hauses sowie der Bewohner 
k)   Steuern - Grundsteuer, Kraftfahrzeugsteuer
l)    Öffentliche Gebühren - z. B. für Abwasser, Straßenreinigung und Müllabfuhr, 
      Schornsteinfegergebühren
m)  betriebsnotwendige Versicherungen
n)   Zinsen für Betriebsmittelkredite
o)   Wartung    </t>
        </r>
      </text>
    </comment>
    <comment ref="B53" authorId="0" shapeId="0" xr:uid="{00000000-0006-0000-0000-000011000000}">
      <text>
        <r>
          <rPr>
            <sz val="8"/>
            <color indexed="81"/>
            <rFont val="Tahoma"/>
            <family val="2"/>
          </rPr>
          <t>a)   Bürobedarf, Drucksachen, Vordrucke, EDV-Kosten
b)   Porti, Kleinfrachten, Postscheck- u. Bankgebühren
c)   Telekommunikation
d)   Tagungen, Gästebetreuung, Repräsentationskosten
e)   Werbeaufwand
f)    Beratungskosten, Prüfungs-, Gerichts- u. Anwaltsgebühren
g)   Fachzeitschriften
h)   Verbands- u. Organisationsbeiträge
i)    Sonstige allgemeine Verwaltungskosten
k)   Bezogene Leistungen 
l)    Zentrale Dienstleistungen (innerhalb des Trägers)</t>
        </r>
      </text>
    </comment>
    <comment ref="B55" authorId="0" shapeId="0" xr:uid="{00000000-0006-0000-0000-000012000000}">
      <text>
        <r>
          <rPr>
            <sz val="8"/>
            <color indexed="81"/>
            <rFont val="Tahoma"/>
            <family val="2"/>
          </rPr>
          <t xml:space="preserve">Aufwand für die Betreuung, kulturelle Bedürfnisse
a)   Bücher, Zeitschriften, Tageszeitungen
b)   CDs, Schallplatten, Filme, Video und sonstige Medien
c)   Rundfunk, Fernsehgebühren, GEMA-Gebühren
d)   Aufwendungen für Körperpflege und Friseur
e)   Veranstaltungen für Einrichtungen
f)   Vielseitige Freizeitbetätigungen, Ausflüge etc.
g)   Lernmittel
h)   Kosten für Fahrten mit Jugendlichen zu Ärzten, Gerichten u. a. </t>
        </r>
        <r>
          <rPr>
            <b/>
            <sz val="8"/>
            <color indexed="81"/>
            <rFont val="Tahoma"/>
            <family val="2"/>
          </rPr>
          <t xml:space="preserve">
</t>
        </r>
        <r>
          <rPr>
            <sz val="8"/>
            <color indexed="81"/>
            <rFont val="Tahoma"/>
            <family val="2"/>
          </rPr>
          <t xml:space="preserve">
</t>
        </r>
      </text>
    </comment>
    <comment ref="B63" authorId="0" shapeId="0" xr:uid="{00000000-0006-0000-0000-000014000000}">
      <text>
        <r>
          <rPr>
            <sz val="8"/>
            <color indexed="81"/>
            <rFont val="Tahoma"/>
            <family val="2"/>
          </rPr>
          <t xml:space="preserve">Für die Bewertung der Sachbezüge gilt die Sachbezugsverordnung in der jeweils gültigen Fassung. 
</t>
        </r>
      </text>
    </comment>
    <comment ref="B65" authorId="0" shapeId="0" xr:uid="{00000000-0006-0000-0000-000015000000}">
      <text>
        <r>
          <rPr>
            <sz val="8"/>
            <color indexed="81"/>
            <rFont val="Tahoma"/>
            <family val="2"/>
          </rPr>
          <t xml:space="preserve">Zu berücksichtigen sind die Einnahmen, z. B. aus Verkäufen an Personal,  die Einnahmen aus privaten Telefongesprächen und dergl. mehr.
</t>
        </r>
      </text>
    </comment>
    <comment ref="F69" authorId="1" shapeId="0" xr:uid="{00000000-0006-0000-0000-000017000000}">
      <text>
        <r>
          <rPr>
            <sz val="8"/>
            <color indexed="81"/>
            <rFont val="Tahoma"/>
            <family val="2"/>
          </rPr>
          <t xml:space="preserve">Die Berechnung nach Position (9) der Erläuterungen zum Kalkulationsblatt (siehe Anmerkung Zelle F30) ist maßgeblich. Es kann sein, dass es zu Abweichungen kommt bei einer Addition der vorangehenden Werte!
</t>
        </r>
      </text>
    </comment>
    <comment ref="B77" authorId="0" shapeId="0" xr:uid="{00000000-0006-0000-0000-000019000000}">
      <text>
        <r>
          <rPr>
            <sz val="8"/>
            <color indexed="81"/>
            <rFont val="Tahoma"/>
            <family val="2"/>
          </rPr>
          <t>1) Nur Kosten,  die der laufenden Instandhaltung des Gebäudes, der Betriebseinrichtungen
    einschließlich des Fuhrparks, des Mobiliars und des Gerätes dienen. 
    Den Kalkulationsblättern ist eine Unterteilung beizufügen, aus der im Einzelnen der In-
    standhaltungsaufwand hervorgeht, getrennt nach Gruppen.
    a) Gebäude
    b) Besondere Betriebseinrichtungen
    c) Ausstattung
    Die Kosten für Wartung sind unter der Position (18) Buchstabe o) zu kalkulieren.
2) Instandhaltung/Instandsetzung sind Maßnahmen, die die Leistungsfähigkeit und Be-
    triebsbereitschaft eines Wirtschaftsgutes erhalten oder wiederherstellen. Die Kosten
    für das Ersetzen von Teilen eines Wirtschaftsgutes, die während der gewöhnlichen 
    Nutzungsdauer ersetzt werden, sind Instandhaltung/Instandsetzung auch dann, wenn  
    die Teile durch bessere, dem technischen Fortschritt entsprechende Teile ersetzt werden.
    Im Zweifel sind steuer- und handelsrechtliche Abgrenzungen maßgebend.
3) Nicht zum Instandhaltungsaufwand gehören solche Aufwendungen, die eine Wertver-
    besserung darstellen. 
4) Hausmeisterservice (Fremdleistungen)</t>
        </r>
      </text>
    </comment>
    <comment ref="B81" authorId="0" shapeId="0" xr:uid="{00000000-0006-0000-0000-00001A000000}">
      <text>
        <r>
          <rPr>
            <sz val="8"/>
            <color indexed="81"/>
            <rFont val="Tahoma"/>
            <family val="2"/>
          </rPr>
          <t xml:space="preserve">Die Höhe der Miete wird im Einzelnen vereinbart, 
entsprechender Gegebenheiten vor Ort. Maklergebühren für vom Einrichtungsträger angemietete Wohnungen.
</t>
        </r>
      </text>
    </comment>
    <comment ref="B85" authorId="0" shapeId="0" xr:uid="{00000000-0006-0000-0000-00001B000000}">
      <text>
        <r>
          <rPr>
            <sz val="8"/>
            <color indexed="81"/>
            <rFont val="Tahoma"/>
            <family val="2"/>
          </rPr>
          <t xml:space="preserve">Die Abschreibungen richten sich nach den handelsrechtlichen Vorschriften. Abweichende Regelungen sind im Einzelfall möglich.
</t>
        </r>
      </text>
    </comment>
    <comment ref="B87" authorId="0" shapeId="0" xr:uid="{00000000-0006-0000-0000-00001C000000}">
      <text>
        <r>
          <rPr>
            <sz val="8"/>
            <color indexed="81"/>
            <rFont val="Tahoma"/>
            <family val="2"/>
          </rPr>
          <t xml:space="preserve">Die Abschreibungen richten sich nach den handelsrechtlichen Vorschriften. Abweichende Regelungen sind im Einzelfall möglich. </t>
        </r>
      </text>
    </comment>
    <comment ref="B89" authorId="0" shapeId="0" xr:uid="{00000000-0006-0000-0000-00001D000000}">
      <text>
        <r>
          <rPr>
            <sz val="8"/>
            <color indexed="81"/>
            <rFont val="Tahoma"/>
            <family val="2"/>
          </rPr>
          <t xml:space="preserve">Ersatzanschaffungen von geringwertigen Wirtschaftsgütern werden im Kalkulationsjahr als Aufwand berücksichtigt.
Die Abschreibung richtet sich nach den handelsrechtlichen Vorschriften. </t>
        </r>
        <r>
          <rPr>
            <b/>
            <sz val="8"/>
            <color indexed="81"/>
            <rFont val="Tahoma"/>
            <family val="2"/>
          </rPr>
          <t xml:space="preserve">
</t>
        </r>
      </text>
    </comment>
    <comment ref="B95" authorId="0" shapeId="0" xr:uid="{00000000-0006-0000-0000-00001F000000}">
      <text>
        <r>
          <rPr>
            <sz val="8"/>
            <color indexed="81"/>
            <rFont val="Tahoma"/>
            <family val="2"/>
          </rPr>
          <t xml:space="preserve">Hier sind zu erfassen z. B. Einnahmen aus Mieten für an Mitarbeiter und an Einrichtungsbetreiber überlassene Wohnungen oder Zimmer in eigenen Gebäuden, von Fremden gezahlte Mieten, Garagenmiete, Pacht oder Miete für Kantinenbetriebe. Für die Bewertung gilt ebenfalls die Sachbezugsverordnung. 
</t>
        </r>
      </text>
    </comment>
    <comment ref="F101" authorId="1" shapeId="0" xr:uid="{00000000-0006-0000-0000-000021000000}">
      <text>
        <r>
          <rPr>
            <sz val="8"/>
            <color indexed="81"/>
            <rFont val="Tahoma"/>
            <family val="2"/>
          </rPr>
          <t xml:space="preserve">Die Berechnung nach Position (9) der Erläuterungen zum Kalkulationsblatt (siehe Anmerkung Zelle F30) ist maßgeblich. Es kann sein, dass es zu Abweichungen kommt bei einer Addition der vorangehenden Werte!
</t>
        </r>
      </text>
    </comment>
    <comment ref="F109" authorId="1" shapeId="0" xr:uid="{00000000-0006-0000-0000-000023000000}">
      <text>
        <r>
          <rPr>
            <sz val="8"/>
            <color indexed="81"/>
            <rFont val="Tahoma"/>
            <family val="2"/>
          </rPr>
          <t xml:space="preserve">Die Berechnung nach Position (9) der Erläuterungen zum Kalkulationsblatt (siehe Anmerkung Zelle F30) ist maßgeblich. Es kann sein, dass es zu Abweichungen kommt bei einer Addition der vorangehenden Werte!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K15" authorId="0" shapeId="0" xr:uid="{F2DF60B6-4782-4826-9767-7C97B0E1F24C}">
      <text>
        <r>
          <rPr>
            <sz val="9"/>
            <color indexed="81"/>
            <rFont val="Segoe UI"/>
            <family val="2"/>
          </rPr>
          <t>Auszubildende und Studierende können in Abhängigkeit der angestrebten Qualifikation, dem Grad oder Stand der Ausbildung beziehungsweise des Studiums im Rahmen des jeweiligen Ausbildungs- beziehungsweise Studienplans unter fachlicher Anleitung qualifizierte und/ oder kompensatorische Assistenzleistungen erbringen. Die Anrechnung von Stellenanteilen erfolgt im Verhältnis der dem Leistungserbringer entstehenden Personalkosten der Auszubildenden beziehungsweise Studierenden zu den durchschnittlichen Personalkosten der entsprechenden Assistenzform.</t>
        </r>
      </text>
    </comment>
    <comment ref="F22" authorId="0" shapeId="0" xr:uid="{61EE75A3-5F82-41AC-8DA9-C9A0FB0236AF}">
      <text>
        <r>
          <rPr>
            <sz val="9"/>
            <color indexed="81"/>
            <rFont val="Segoe UI"/>
            <family val="2"/>
          </rPr>
          <t xml:space="preserve">Ist in der Zelle ein Prozentwert eingetragen, erfolgt die Berechnung pauschaliert. Falls die Kalkulation anhand der Personalstellen erfolgen soll, ist kein Prozentwert einzutragen und das Personal im Tabellenblatt PK AN-Brutto einzutragen. </t>
        </r>
      </text>
    </comment>
    <comment ref="F27" authorId="0" shapeId="0" xr:uid="{8D7AE5D4-36FA-4DC3-BE38-1C8FA4CB66FB}">
      <text>
        <r>
          <rPr>
            <sz val="9"/>
            <color indexed="81"/>
            <rFont val="Segoe UI"/>
            <family val="2"/>
          </rPr>
          <t xml:space="preserve">Ist in der Zelle ein Prozentwert eingetragen, erfolgt die Berechnung pauschaliert. Falls die Kalkulation anhand der Personalstellen erfolgen soll, ist kein Prozentwert einzutragen und das Personal im Tabellenblatt PK AN-Brutto einzutragen.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B5" authorId="0" shapeId="0" xr:uid="{B603B014-B692-4DBE-8AB0-77638269ECF1}">
      <text>
        <r>
          <rPr>
            <sz val="9"/>
            <color indexed="81"/>
            <rFont val="Segoe UI"/>
            <family val="2"/>
          </rPr>
          <t xml:space="preserve">Es wird mit 52 Wochen gerechnet (gem. KGSt).
</t>
        </r>
      </text>
    </comment>
    <comment ref="B18" authorId="0" shapeId="0" xr:uid="{669F3050-074E-4509-828A-4220AB043194}">
      <text>
        <r>
          <rPr>
            <b/>
            <sz val="9"/>
            <color indexed="81"/>
            <rFont val="Segoe UI"/>
            <family val="2"/>
          </rPr>
          <t xml:space="preserve">Feiertage, die immer auf einen Wochentag fallen:
</t>
        </r>
        <r>
          <rPr>
            <sz val="9"/>
            <color indexed="81"/>
            <rFont val="Segoe UI"/>
            <family val="2"/>
          </rPr>
          <t>Karfreitag
Ostermontag
Christi Himmelfahrt
Pfingstmontag
Fronleichnam</t>
        </r>
        <r>
          <rPr>
            <b/>
            <sz val="9"/>
            <color indexed="81"/>
            <rFont val="Segoe UI"/>
            <family val="2"/>
          </rPr>
          <t xml:space="preserve">
Summe      5
Feiertage, die auch auf einen Wochentag fallen können:
</t>
        </r>
        <r>
          <rPr>
            <sz val="9"/>
            <color indexed="81"/>
            <rFont val="Segoe UI"/>
            <family val="2"/>
          </rPr>
          <t>Neujahrstag
Tag der Arbeit
Tag der Deutschen Einheit
Heiligabend
1. Weihnachtstag
2. Weihnachtstag
Silvester</t>
        </r>
        <r>
          <rPr>
            <b/>
            <sz val="9"/>
            <color indexed="81"/>
            <rFont val="Segoe UI"/>
            <family val="2"/>
          </rPr>
          <t xml:space="preserve">
Summe      7 davon zu berücksichtigen 7 Feiertage : 7 Wochentage x 5 Arbeitstage = 5
Summe aller zu berücksichtigen Feiertage 10
</t>
        </r>
      </text>
    </comment>
    <comment ref="B19" authorId="0" shapeId="0" xr:uid="{AF8F5997-7F00-4562-BDB3-1856C04A228D}">
      <text>
        <r>
          <rPr>
            <sz val="9"/>
            <color indexed="81"/>
            <rFont val="Segoe UI"/>
            <family val="2"/>
          </rPr>
          <t>Urlaubstage, Regenerationstage und zusätzliche Urlaubstage für Schwerbehinderte, Schichtdienst, Sonderurlaub, Mutterschutz, etc.</t>
        </r>
      </text>
    </comment>
    <comment ref="B72" authorId="0" shapeId="0" xr:uid="{BB848945-FE08-4D56-9014-FF25DB94DE3E}">
      <text>
        <r>
          <rPr>
            <sz val="9"/>
            <color indexed="81"/>
            <rFont val="Segoe UI"/>
            <family val="2"/>
          </rPr>
          <t>(= Zeitkontingent für Face to Face Leistungen 
+ über FLS abrechenbare indirekter Leistungen)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Stefan Gerland</author>
    <author>Autor</author>
  </authors>
  <commentList>
    <comment ref="D5" authorId="0" shapeId="0" xr:uid="{00000000-0006-0000-0200-000001000000}">
      <text>
        <r>
          <rPr>
            <sz val="8"/>
            <color indexed="81"/>
            <rFont val="Tahoma"/>
            <family val="2"/>
          </rPr>
          <t xml:space="preserve">Mitarbeitende die nicht nach Tarifvertrag vergütet werden - Bitte AT eintragen
</t>
        </r>
      </text>
    </comment>
    <comment ref="K5" authorId="1" shapeId="0" xr:uid="{00000000-0006-0000-0200-000002000000}">
      <text>
        <r>
          <rPr>
            <sz val="8"/>
            <color indexed="81"/>
            <rFont val="Tahoma"/>
            <family val="2"/>
          </rPr>
          <t>Hierzu zählen u. a. tarifliche Kinder- und Familienzulagen, Zulage gemäß § 52 TVöD, Zulagen im SuE usw.</t>
        </r>
      </text>
    </comment>
    <comment ref="U5" authorId="1" shapeId="0" xr:uid="{00000000-0006-0000-0200-000003000000}">
      <text>
        <r>
          <rPr>
            <sz val="8"/>
            <color indexed="81"/>
            <rFont val="Tahoma"/>
            <family val="2"/>
          </rPr>
          <t xml:space="preserve">gilt nur in  den Tarifwerken TvöD-VKA und SuE
</t>
        </r>
      </text>
    </comment>
    <comment ref="O6" authorId="1" shapeId="0" xr:uid="{00000000-0006-0000-0200-000005000000}">
      <text>
        <r>
          <rPr>
            <sz val="8"/>
            <color indexed="81"/>
            <rFont val="Tahoma"/>
            <family val="2"/>
          </rPr>
          <t xml:space="preserve">Richtwert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Diakonie</author>
  </authors>
  <commentList>
    <comment ref="C28" authorId="0" shapeId="0" xr:uid="{00000000-0006-0000-0300-000001000000}">
      <text>
        <r>
          <rPr>
            <sz val="9"/>
            <color indexed="81"/>
            <rFont val="Segoe UI"/>
            <family val="2"/>
          </rPr>
          <t xml:space="preserve">Hier ist der maßgebliche Tabellenwert der Entgeltgruppe anzugeben, der zur Bemessung der Zeitzuschläge herangezogen wird. Dieser entspricht i.d.R. der Durchschnitts-"Stufe" einer Entgeltgruppe. Die individuellen tariflichen Regelungen sind zu beachten. (siehe auch Handbuch)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Stefan Gerland</author>
  </authors>
  <commentList>
    <comment ref="G2" authorId="0" shapeId="0" xr:uid="{00000000-0006-0000-0400-000001000000}">
      <text>
        <r>
          <rPr>
            <sz val="8"/>
            <color indexed="81"/>
            <rFont val="Tahoma"/>
            <family val="2"/>
          </rPr>
          <t>Beiträge zur Zusatzversorgung sind teilweise steuer- und sozialversicherungspflichtig
Neben dem Beitragssatz (Zelle O22), dem Sanierungsgeld (Zelle O32) ist also hierfür auch ein zusätzlicher prozentualer Anteil zu berechnen. Siehe Berechnung.</t>
        </r>
        <r>
          <rPr>
            <b/>
            <sz val="8"/>
            <color indexed="81"/>
            <rFont val="Tahoma"/>
            <family val="2"/>
          </rPr>
          <t xml:space="preserve">
</t>
        </r>
        <r>
          <rPr>
            <sz val="8"/>
            <color indexed="81"/>
            <rFont val="Tahoma"/>
            <family val="2"/>
          </rPr>
          <t xml:space="preserve">
</t>
        </r>
      </text>
    </comment>
    <comment ref="I2" authorId="1" shapeId="0" xr:uid="{00000000-0006-0000-0400-000002000000}">
      <text>
        <r>
          <rPr>
            <sz val="10"/>
            <color indexed="81"/>
            <rFont val="Tahoma"/>
            <family val="2"/>
          </rPr>
          <t xml:space="preserve">Entweder ZVK eintragen </t>
        </r>
        <r>
          <rPr>
            <u/>
            <sz val="10"/>
            <color indexed="81"/>
            <rFont val="Tahoma"/>
            <family val="2"/>
          </rPr>
          <t>oder</t>
        </r>
        <r>
          <rPr>
            <sz val="10"/>
            <color indexed="81"/>
            <rFont val="Tahoma"/>
            <family val="2"/>
          </rPr>
          <t xml:space="preserve"> Sonstige Beiträge zur Altersversorgung 
Beides gleichzeitig führt zu einer Fehlermeldung</t>
        </r>
        <r>
          <rPr>
            <sz val="8"/>
            <color indexed="81"/>
            <rFont val="Tahoma"/>
            <family val="2"/>
          </rPr>
          <t xml:space="preserve">
</t>
        </r>
      </text>
    </comment>
    <comment ref="G3" authorId="1" shapeId="0" xr:uid="{00000000-0006-0000-0400-000003000000}">
      <text>
        <r>
          <rPr>
            <sz val="9"/>
            <color indexed="81"/>
            <rFont val="Tahoma"/>
            <family val="2"/>
          </rPr>
          <t>individueller Prozentsatz gemäß exemplarischer Berechnung in den Spalten Q bis T</t>
        </r>
      </text>
    </comment>
    <comment ref="I3" authorId="1" shapeId="0" xr:uid="{00000000-0006-0000-0400-000004000000}">
      <text>
        <r>
          <rPr>
            <sz val="8"/>
            <color indexed="81"/>
            <rFont val="Tahoma"/>
            <family val="2"/>
          </rPr>
          <t xml:space="preserve">Soll hier ein Prozentsatz eingetragen werden, müssen die Angaben zur ZVK in Zelle O22 und O32 gelöscht werden. Ansonsten erfolgt eine Fehlermeldung </t>
        </r>
      </text>
    </comment>
    <comment ref="K3" authorId="1" shapeId="0" xr:uid="{00000000-0006-0000-0400-000005000000}">
      <text>
        <r>
          <rPr>
            <sz val="8"/>
            <color indexed="81"/>
            <rFont val="Tahoma"/>
            <family val="2"/>
          </rPr>
          <t>Soll hier ein Jahresbetrag eingetragen werden, müssen die Angaben zur ZVK in Zelle O22 und O32 gelöscht werden. Ansonsten erfolgt eine Fehlermeldung</t>
        </r>
        <r>
          <rPr>
            <b/>
            <sz val="8"/>
            <color indexed="81"/>
            <rFont val="Tahoma"/>
            <family val="2"/>
          </rPr>
          <t xml:space="preserve"> 
</t>
        </r>
      </text>
    </comment>
    <comment ref="Q22" authorId="1" shapeId="0" xr:uid="{7794F8B1-A282-4C5F-80F3-D82445972463}">
      <text>
        <r>
          <rPr>
            <sz val="9"/>
            <color indexed="81"/>
            <rFont val="Tahoma"/>
            <family val="2"/>
          </rPr>
          <t>Zur Überprüfung kann gern das monatliche Bruttoentgelt des AN aus dem Tabellenblatt "PK AN-Brutto" Spalte "Y" eingetragen werden</t>
        </r>
        <r>
          <rPr>
            <b/>
            <sz val="9"/>
            <color indexed="81"/>
            <rFont val="Tahoma"/>
            <family val="2"/>
          </rPr>
          <t xml:space="preserve">.
</t>
        </r>
        <r>
          <rPr>
            <sz val="9"/>
            <color indexed="81"/>
            <rFont val="Tahoma"/>
            <family val="2"/>
          </rPr>
          <t xml:space="preserve">
</t>
        </r>
      </text>
    </comment>
    <comment ref="N23" authorId="1" shapeId="0" xr:uid="{00000000-0006-0000-0400-000007000000}">
      <text>
        <r>
          <rPr>
            <sz val="9"/>
            <color indexed="81"/>
            <rFont val="Tahoma"/>
            <family val="2"/>
          </rPr>
          <t xml:space="preserve">Umlagesatz der Zusatzversorgungskasse eintragen
</t>
        </r>
      </text>
    </comment>
    <comment ref="N33" authorId="1" shapeId="0" xr:uid="{00000000-0006-0000-0400-000008000000}">
      <text>
        <r>
          <rPr>
            <sz val="9"/>
            <color indexed="81"/>
            <rFont val="Tahoma"/>
            <family val="2"/>
          </rPr>
          <t xml:space="preserve">Umlagesatz für das Sanierungsgeld der Zusatzversorgungskasse eintragen.
</t>
        </r>
      </text>
    </comment>
  </commentList>
</comments>
</file>

<file path=xl/sharedStrings.xml><?xml version="1.0" encoding="utf-8"?>
<sst xmlns="http://schemas.openxmlformats.org/spreadsheetml/2006/main" count="355" uniqueCount="288">
  <si>
    <t>Leitung</t>
  </si>
  <si>
    <t>Verwaltung</t>
  </si>
  <si>
    <t>Personalnebenkosten</t>
  </si>
  <si>
    <t>Entgelt-gruppe</t>
  </si>
  <si>
    <t>Summe</t>
  </si>
  <si>
    <t>Kalkulationszeitraum</t>
  </si>
  <si>
    <t>Kostenarten</t>
  </si>
  <si>
    <t>Verwaltungsaufwand</t>
  </si>
  <si>
    <t>Betreuungsaufwand</t>
  </si>
  <si>
    <t>Sonstiger Aufwand</t>
  </si>
  <si>
    <t>Erlösabzüge Betreuung</t>
  </si>
  <si>
    <t>Leasing</t>
  </si>
  <si>
    <t>Erlösabzüge Gebäude und Inventar</t>
  </si>
  <si>
    <t>Mieten und Pachten</t>
  </si>
  <si>
    <t>Auflösung von Investitionszuschüssen</t>
  </si>
  <si>
    <t>Rechtsform:</t>
  </si>
  <si>
    <t>Vermögens-wirksame Leistungen</t>
  </si>
  <si>
    <t>(1)</t>
  </si>
  <si>
    <t>(2)</t>
  </si>
  <si>
    <t>(3)</t>
  </si>
  <si>
    <t>(4)</t>
  </si>
  <si>
    <t>(5)</t>
  </si>
  <si>
    <t>(6)</t>
  </si>
  <si>
    <t>(7)</t>
  </si>
  <si>
    <t>(8)</t>
  </si>
  <si>
    <t>(9)</t>
  </si>
  <si>
    <t>(10)</t>
  </si>
  <si>
    <t>(11)</t>
  </si>
  <si>
    <t>(12)</t>
  </si>
  <si>
    <t>(13)</t>
  </si>
  <si>
    <t>kalkulatorischer</t>
  </si>
  <si>
    <t>je Berechnungs-</t>
  </si>
  <si>
    <t>Aufwand  in €</t>
  </si>
  <si>
    <t>(15)</t>
  </si>
  <si>
    <t>(16)</t>
  </si>
  <si>
    <t>(19)</t>
  </si>
  <si>
    <t>(20)</t>
  </si>
  <si>
    <t>(14) bis (20)</t>
  </si>
  <si>
    <t>Kalkulatorischer</t>
  </si>
  <si>
    <t>Aufwand in €</t>
  </si>
  <si>
    <t>(22)</t>
  </si>
  <si>
    <t>(23)</t>
  </si>
  <si>
    <t>(24)</t>
  </si>
  <si>
    <t>(25)</t>
  </si>
  <si>
    <t>(26)</t>
  </si>
  <si>
    <t>(27)</t>
  </si>
  <si>
    <t>(28)</t>
  </si>
  <si>
    <t>(22) bis (27)</t>
  </si>
  <si>
    <t>(29)</t>
  </si>
  <si>
    <t>(30)</t>
  </si>
  <si>
    <t>(31)</t>
  </si>
  <si>
    <t>(29) bis (33)</t>
  </si>
  <si>
    <t>(28) abzüglich (34)</t>
  </si>
  <si>
    <t>(37)</t>
  </si>
  <si>
    <t>und Außenanlagen (ohne Wartung)</t>
  </si>
  <si>
    <t>(38)</t>
  </si>
  <si>
    <t>(39)</t>
  </si>
  <si>
    <t>(40)</t>
  </si>
  <si>
    <t>(41)</t>
  </si>
  <si>
    <t>Abschreibungen bewegliche Anlagegüter</t>
  </si>
  <si>
    <t>zuzüglich MwSt.</t>
  </si>
  <si>
    <t>(37) bis (43)</t>
  </si>
  <si>
    <t>Inventar (45) bis (46)</t>
  </si>
  <si>
    <t>und Inventar (44) abzüglich (47)</t>
  </si>
  <si>
    <t>(35) zuzüglich (48)</t>
  </si>
  <si>
    <t>(21) zuzüglich (49)</t>
  </si>
  <si>
    <t>Ort/Datum</t>
  </si>
  <si>
    <t>Unterschrift</t>
  </si>
  <si>
    <t>Auslastung:</t>
  </si>
  <si>
    <t>persönliche Zulagen</t>
  </si>
  <si>
    <t>Betrag</t>
  </si>
  <si>
    <t>Prozent-wert</t>
  </si>
  <si>
    <t>Leistungsentgelt</t>
  </si>
  <si>
    <t>Honorare</t>
  </si>
  <si>
    <t>Ausbildungsqualifikation/ Funktionsgruppe</t>
  </si>
  <si>
    <t>Anzahl MA</t>
  </si>
  <si>
    <t>Tabellen-werte</t>
  </si>
  <si>
    <t>Wochenarbeitsstunden:</t>
  </si>
  <si>
    <t>Wochen-arbeits-stunden</t>
  </si>
  <si>
    <t>Inanspruchnahme</t>
  </si>
  <si>
    <t>Stunden</t>
  </si>
  <si>
    <t>Stundenlohnzuschläge:</t>
  </si>
  <si>
    <t>in Euro</t>
  </si>
  <si>
    <t>pro Stunde</t>
  </si>
  <si>
    <t>in Prozent</t>
  </si>
  <si>
    <t>von</t>
  </si>
  <si>
    <t>bis</t>
  </si>
  <si>
    <t>Tage im Jahr</t>
  </si>
  <si>
    <t>Summe Zuschläge:</t>
  </si>
  <si>
    <t>dividiert VZK</t>
  </si>
  <si>
    <t>dividiert Monate</t>
  </si>
  <si>
    <t>Durchschn. Zuschlag</t>
  </si>
  <si>
    <t>tariflich</t>
  </si>
  <si>
    <t>MiniJob Pauschale</t>
  </si>
  <si>
    <t>Zulagen gemäß Tarifvertrag</t>
  </si>
  <si>
    <t>Rentenversicherung</t>
  </si>
  <si>
    <t>Krankenversicherung</t>
  </si>
  <si>
    <t>Pflegeversicherung</t>
  </si>
  <si>
    <t>U1 Umlage</t>
  </si>
  <si>
    <t>U2 Umlage</t>
  </si>
  <si>
    <t>Insolvenzversicherung</t>
  </si>
  <si>
    <t>Sozialversicherung und Umlagen</t>
  </si>
  <si>
    <t>Zinsen für Investitionsdarlehen und Erbbauzinsen</t>
  </si>
  <si>
    <t>Abschreibungen (AfA) Gebäude</t>
  </si>
  <si>
    <t>Bezeichnung</t>
  </si>
  <si>
    <t>Anzahl</t>
  </si>
  <si>
    <t>Anschaffungskosten</t>
  </si>
  <si>
    <t>Abschrei-bungs-zeitraum</t>
  </si>
  <si>
    <t>Zugang</t>
  </si>
  <si>
    <t>Bestand</t>
  </si>
  <si>
    <t>keine Berücksichtigung</t>
  </si>
  <si>
    <t>Anrechnung</t>
  </si>
  <si>
    <t>Abschreibungswert pro Jahr</t>
  </si>
  <si>
    <t>Eckdaten Zusatzversorgung</t>
  </si>
  <si>
    <t>Zusatzversorgung inkl. Sanierungsgeld und Sozialversicherung und Pauschalsteuer</t>
  </si>
  <si>
    <t>Umlage ZVK Arbeitgeber</t>
  </si>
  <si>
    <t>davon steuerfrei (§3 Nr.56 EStG)</t>
  </si>
  <si>
    <t>davon sozialversicherungsfrei</t>
  </si>
  <si>
    <t>davon pauschal zu versteuern bis zu</t>
  </si>
  <si>
    <t>abzüglich Freibetrag</t>
  </si>
  <si>
    <t>Pauschalsteuer</t>
  </si>
  <si>
    <t>Solidaritätszuschlag</t>
  </si>
  <si>
    <t>Kirchensteuer</t>
  </si>
  <si>
    <t>Exemplarische Berechnung für die Daten Spalte G</t>
  </si>
  <si>
    <t>abzüglich steuerfrei =</t>
  </si>
  <si>
    <t>pauschal zu versteuern =</t>
  </si>
  <si>
    <t>abzüglich soz.frei =</t>
  </si>
  <si>
    <t>auf 100€ ZV-AG entfallen =</t>
  </si>
  <si>
    <t>abzüglich Freibetrag =</t>
  </si>
  <si>
    <t>sozialvers.pflichtig AG</t>
  </si>
  <si>
    <t xml:space="preserve">Sanierungsgeld </t>
  </si>
  <si>
    <t>soz.frei dividiert Umlage mal Prozent</t>
  </si>
  <si>
    <t xml:space="preserve">Prozent </t>
  </si>
  <si>
    <t>Sanierungsgeld SV und Steuerfrei</t>
  </si>
  <si>
    <t>Arbeitslosenversicherung</t>
  </si>
  <si>
    <t>MiniJob</t>
  </si>
  <si>
    <t>Stunden-werte</t>
  </si>
  <si>
    <t>Tarif für den Verein-barungs-zeitraum</t>
  </si>
  <si>
    <t>Prozent</t>
  </si>
  <si>
    <t>Sozial-versicherungs-beiträge und Umlagen</t>
  </si>
  <si>
    <t>Tage</t>
  </si>
  <si>
    <t>Zulage</t>
  </si>
  <si>
    <t>Tageswert</t>
  </si>
  <si>
    <t>Tage pro Monat</t>
  </si>
  <si>
    <t>zuzüglich aufschlags-</t>
  </si>
  <si>
    <t>Berechnung:</t>
  </si>
  <si>
    <t>individueller Jahresbetrag</t>
  </si>
  <si>
    <t>Instandhaltung Gebäude, Einrichtungen und Außenanlagen</t>
  </si>
  <si>
    <t>Stunden im Jahr</t>
  </si>
  <si>
    <t>AG Bruttoentgelt je Vollzeitkraft pro Jahr</t>
  </si>
  <si>
    <t>AG Bruttoentgelt multipliziert mit VZK</t>
  </si>
  <si>
    <t>Arbeitnehmer-bruttoentgelt pro Jahr</t>
  </si>
  <si>
    <t>nachrichtlich Arbeitnehmer-bruttoentgelt pro Monat</t>
  </si>
  <si>
    <t>Arbeitgeber Bruttoentgelt pro Jahr</t>
  </si>
  <si>
    <t>monatliches AN Bruttoentgelt</t>
  </si>
  <si>
    <t>Entgelt-stufe</t>
  </si>
  <si>
    <r>
      <t xml:space="preserve">Jahresentgelt </t>
    </r>
    <r>
      <rPr>
        <i/>
        <sz val="9"/>
        <color theme="1"/>
        <rFont val="Arial"/>
        <family val="2"/>
      </rPr>
      <t>(Monatsentgelt multipliziert mit 12)</t>
    </r>
  </si>
  <si>
    <r>
      <t xml:space="preserve">Tarifvertrag </t>
    </r>
    <r>
      <rPr>
        <i/>
        <sz val="9"/>
        <color theme="1"/>
        <rFont val="Arial"/>
        <family val="2"/>
      </rPr>
      <t>entspr. Abkürzung verwenden</t>
    </r>
  </si>
  <si>
    <t>Berufsgenossenschaftsbeitrag</t>
  </si>
  <si>
    <t>die Gewichtung erfolgt im Tabellenblatt PK Zusammenfassung</t>
  </si>
  <si>
    <t>berechtigte Tage</t>
  </si>
  <si>
    <t>Summe Anlagegut</t>
  </si>
  <si>
    <t>Erlösabzüge für Sachkosten</t>
  </si>
  <si>
    <t>Erlösabzüge für Personal</t>
  </si>
  <si>
    <t>Betriebsnotwendige Anlagen einschließlich ihrer Ausstattung (Investitionsbetrag)</t>
  </si>
  <si>
    <t>BGW</t>
  </si>
  <si>
    <t>Dachverband:</t>
  </si>
  <si>
    <t>Name</t>
  </si>
  <si>
    <t>Straße</t>
  </si>
  <si>
    <t>PLZ / Ort</t>
  </si>
  <si>
    <t>Telefon</t>
  </si>
  <si>
    <t>Telefax</t>
  </si>
  <si>
    <t>E-Mail</t>
  </si>
  <si>
    <t>Ansprechpartner:in</t>
  </si>
  <si>
    <t>Kalenderwochen pro Jahr</t>
  </si>
  <si>
    <t>Wochen</t>
  </si>
  <si>
    <t>Wochenstunden</t>
  </si>
  <si>
    <t>Nettoarbeitszeit pro Jahr</t>
  </si>
  <si>
    <t>Feiertage</t>
  </si>
  <si>
    <t>Urlaubstage</t>
  </si>
  <si>
    <t>Krankheitstage</t>
  </si>
  <si>
    <t>in Stunden</t>
  </si>
  <si>
    <t>pro Woche</t>
  </si>
  <si>
    <t>pro Jahr</t>
  </si>
  <si>
    <t>Supervision</t>
  </si>
  <si>
    <t>Netzwerkarbeit, Gremienarbeit, AG-Treffen</t>
  </si>
  <si>
    <t>Betriebsausflüge</t>
  </si>
  <si>
    <t>Einarbeitungszeiten</t>
  </si>
  <si>
    <t>Zuarbeit zur Verwaltung</t>
  </si>
  <si>
    <t>Vollzeitkraft</t>
  </si>
  <si>
    <t>Über FLS abrechenbar?</t>
  </si>
  <si>
    <t>Dokumentation</t>
  </si>
  <si>
    <t>Nein</t>
  </si>
  <si>
    <t>Vor- &amp; Nachbereitung</t>
  </si>
  <si>
    <t>Fallbesprechungen</t>
  </si>
  <si>
    <t>Recherchetätigkeiten</t>
  </si>
  <si>
    <t>Hilfeplangespräche</t>
  </si>
  <si>
    <t>Berichtswesen</t>
  </si>
  <si>
    <r>
      <t xml:space="preserve">Stunden pro Tag </t>
    </r>
    <r>
      <rPr>
        <b/>
        <sz val="10"/>
        <color theme="1"/>
        <rFont val="Arial"/>
        <family val="2"/>
      </rPr>
      <t>(5 Tage Woche)</t>
    </r>
  </si>
  <si>
    <r>
      <t xml:space="preserve">Bruttoarbeitstage pro Jahr </t>
    </r>
    <r>
      <rPr>
        <b/>
        <sz val="10"/>
        <color theme="1"/>
        <rFont val="Arial"/>
        <family val="2"/>
      </rPr>
      <t>(5 Tage Woche)</t>
    </r>
    <r>
      <rPr>
        <sz val="10"/>
        <color theme="1"/>
        <rFont val="Arial"/>
        <family val="2"/>
      </rPr>
      <t xml:space="preserve"> = Kalenderwochen*5</t>
    </r>
  </si>
  <si>
    <r>
      <t xml:space="preserve">Bruttoarbeitsstunden pro Jahr </t>
    </r>
    <r>
      <rPr>
        <sz val="10"/>
        <color theme="1"/>
        <rFont val="Arial"/>
        <family val="2"/>
      </rPr>
      <t>(Bruttoarbeitstage*Stunden pro Tag)</t>
    </r>
  </si>
  <si>
    <t>Über FLS abrechenbare personenbezogene indirekte Leistungen</t>
  </si>
  <si>
    <t>insg. pro Jahr</t>
  </si>
  <si>
    <t>indirekte Leistungen</t>
  </si>
  <si>
    <t>Eckwerte</t>
  </si>
  <si>
    <t>Anzahl der Mitarbeitenden (Köpfe)</t>
  </si>
  <si>
    <t>insgesamt</t>
  </si>
  <si>
    <t>indirekte Leistungen Gesamtsumme</t>
  </si>
  <si>
    <t>Durchschnittlich verfügbare Jahresarbeitsstunden</t>
  </si>
  <si>
    <t>Berechnungsstunden:</t>
  </si>
  <si>
    <t>stunde in €</t>
  </si>
  <si>
    <t>Monatsentgelt</t>
  </si>
  <si>
    <t>Arbeitsplatzvorbereitung</t>
  </si>
  <si>
    <t>Teilnahme an Mitarbeitendengesprächen</t>
  </si>
  <si>
    <t>Inanspruchnahme von fachlicher Beratung</t>
  </si>
  <si>
    <t>Team- und Dienstbesprechungen</t>
  </si>
  <si>
    <t>Inanspruchnahme von fachlicher Beratung und Begleitung i.S.d. § 8b SGB VIII</t>
  </si>
  <si>
    <t>Personalversammlung/ Mitarbeitendenversammlung</t>
  </si>
  <si>
    <t>durchschn. wöchentliche Arbeitszeit</t>
  </si>
  <si>
    <t>Telefonzeiten (mit Schule, Ausbildungsstätte, Ämtern, …), Schriftverkehr</t>
  </si>
  <si>
    <t>Summe  Personalgruppen</t>
  </si>
  <si>
    <t>Schichtzulage gemäß Tarifvertrag</t>
  </si>
  <si>
    <t>Monatsentgelt nach Fort-schreibung</t>
  </si>
  <si>
    <t>Monatsentgelt nach aktueller Tabelle bzw. Vereinbarung</t>
  </si>
  <si>
    <t xml:space="preserve">Aufschlagsberechtigte Tage </t>
  </si>
  <si>
    <t>Monatswert je Mitarbeitenden</t>
  </si>
  <si>
    <t>Monatswert pro Mitarbeitenden</t>
  </si>
  <si>
    <t>Mitarbeitende Vollzeitkräfte</t>
  </si>
  <si>
    <t xml:space="preserve">bis </t>
  </si>
  <si>
    <t>(32)</t>
  </si>
  <si>
    <t>(33)</t>
  </si>
  <si>
    <t>(34)</t>
  </si>
  <si>
    <t>(35)</t>
  </si>
  <si>
    <t>(36)</t>
  </si>
  <si>
    <t>Gewichtung Zahl der Mitarbeitenden</t>
  </si>
  <si>
    <t xml:space="preserve">Wochen-äquivalent </t>
  </si>
  <si>
    <t>gewichteter Durchschnitt</t>
  </si>
  <si>
    <t>Fortbildung</t>
  </si>
  <si>
    <t>Abrechenbare Stunden pro Woche</t>
  </si>
  <si>
    <r>
      <t xml:space="preserve">davon Berufsgenossenschaftsbeiträge (BGW) - </t>
    </r>
    <r>
      <rPr>
        <i/>
        <sz val="10"/>
        <rFont val="Arial"/>
        <family val="2"/>
      </rPr>
      <t>nachrichtlich</t>
    </r>
  </si>
  <si>
    <t>Pauschale</t>
  </si>
  <si>
    <t>stunden in €</t>
  </si>
  <si>
    <t>Leistungserbringer</t>
  </si>
  <si>
    <t>Träger des Leistungserbringers</t>
  </si>
  <si>
    <t>Fahrtzeiten</t>
  </si>
  <si>
    <r>
      <rPr>
        <b/>
        <sz val="9"/>
        <color theme="1"/>
        <rFont val="Arial"/>
        <family val="2"/>
      </rPr>
      <t>alternativ</t>
    </r>
    <r>
      <rPr>
        <sz val="9"/>
        <color theme="1"/>
        <rFont val="Arial"/>
        <family val="2"/>
      </rPr>
      <t xml:space="preserve"> 
 AG Bruttoentgelt je Vollzeitkraft pro Jahr - pauschal</t>
    </r>
  </si>
  <si>
    <r>
      <rPr>
        <b/>
        <sz val="14"/>
        <color theme="1"/>
        <rFont val="Arial"/>
        <family val="2"/>
      </rPr>
      <t xml:space="preserve">oder
</t>
    </r>
    <r>
      <rPr>
        <sz val="9"/>
        <color theme="1"/>
        <rFont val="Arial"/>
        <family val="2"/>
      </rPr>
      <t>Sonstige Beiträge zur zusätzlichen Altersversorgung</t>
    </r>
  </si>
  <si>
    <r>
      <t>Zeitzu-schläge</t>
    </r>
    <r>
      <rPr>
        <i/>
        <sz val="8"/>
        <color theme="1"/>
        <rFont val="Arial"/>
        <family val="2"/>
      </rPr>
      <t xml:space="preserve"> 
(siehe extra
Tabellen- blatt)</t>
    </r>
  </si>
  <si>
    <t>KGSt bei 39 h/W</t>
  </si>
  <si>
    <t>In dieser Tabelle sind grundsätzlich die Werte für eine 100 % - Stelle bzw. eine Vollzeitkraft (VZK) einzugeben</t>
  </si>
  <si>
    <t>(14)</t>
  </si>
  <si>
    <t>Praktikant:innen</t>
  </si>
  <si>
    <t>(17)</t>
  </si>
  <si>
    <t>Summe Personalaufwand
(14) bis (16)</t>
  </si>
  <si>
    <t>(18)</t>
  </si>
  <si>
    <t>(21)</t>
  </si>
  <si>
    <t>Summe Sachaufwand
(18) bis (21)</t>
  </si>
  <si>
    <r>
      <t xml:space="preserve">Summe Erlösabzüge Betreuung
</t>
    </r>
    <r>
      <rPr>
        <sz val="10"/>
        <rFont val="Arial"/>
        <family val="2"/>
      </rPr>
      <t>(23) und (24)</t>
    </r>
  </si>
  <si>
    <r>
      <t xml:space="preserve">Bereinigter Sachaufwand Betreuung
</t>
    </r>
    <r>
      <rPr>
        <sz val="10"/>
        <rFont val="Arial"/>
        <family val="2"/>
      </rPr>
      <t>(22) abzüglich (25)</t>
    </r>
  </si>
  <si>
    <t>Summe Gebäude und Inventar
(27) bis (33)</t>
  </si>
  <si>
    <t>Anlagenverzeichnis für bewegliche Anlagegüter gemäß Position 32 des Kalkulationsblattes</t>
  </si>
  <si>
    <t>Summe Erlösabzüge Gebäude und Inventar
(35) und (36)</t>
  </si>
  <si>
    <r>
      <t xml:space="preserve">Investitionsbetrag
</t>
    </r>
    <r>
      <rPr>
        <sz val="10"/>
        <rFont val="Arial"/>
        <family val="2"/>
      </rPr>
      <t>(34) abzüglich (37)</t>
    </r>
  </si>
  <si>
    <r>
      <t xml:space="preserve">Summe Personalaufwand
</t>
    </r>
    <r>
      <rPr>
        <sz val="10"/>
        <rFont val="Arial"/>
        <family val="2"/>
      </rPr>
      <t>(17)</t>
    </r>
  </si>
  <si>
    <r>
      <t xml:space="preserve">Bereinigter Sachaufwand
</t>
    </r>
    <r>
      <rPr>
        <sz val="10"/>
        <rFont val="Arial"/>
        <family val="2"/>
      </rPr>
      <t>(26) und (38)</t>
    </r>
  </si>
  <si>
    <t>Abschreibungen für geringwertige Wirtschaftsgüter (GWG)</t>
  </si>
  <si>
    <t>Die Höhe der Entgeltfortzahlung im Krankheitsfall und bei Beurlaubung bestimmen sich nach dem "Lohnausfallprinzip". Arbeitnehmer:innen sind so zu vergüten, als hätten sie gearbeitet. Damit besteht auch ein Rechtsanspruch auf die Sonntags-, Feiertags- und Nachtzuschläge (SFN-Zuschläge), wenn in der Vergangenheit solche Arbeit geleistet wurde.</t>
  </si>
  <si>
    <t>Betriebsaufwendungen (inkl. Wartung)</t>
  </si>
  <si>
    <t>Mieten/ Pachten inkl. Maklergebühren</t>
  </si>
  <si>
    <t>Durchschnittl. verfügb. Jahresarbeitsstd.</t>
  </si>
  <si>
    <t>Vollzeit-kräfte/ Multi-plikator</t>
  </si>
  <si>
    <t>Auszubildende/ Studierende</t>
  </si>
  <si>
    <t>BFD/ FSJ</t>
  </si>
  <si>
    <r>
      <rPr>
        <b/>
        <sz val="10"/>
        <color theme="1"/>
        <rFont val="Arial"/>
        <family val="2"/>
      </rPr>
      <t>Nicht</t>
    </r>
    <r>
      <rPr>
        <sz val="10"/>
        <color theme="1"/>
        <rFont val="Arial"/>
        <family val="2"/>
      </rPr>
      <t xml:space="preserve"> über FLS abrechenbare indirekte Leistungen</t>
    </r>
  </si>
  <si>
    <t>Bildungsurlaub/ Bildungsfreistellung</t>
  </si>
  <si>
    <t>Schulungen/ Unterweisungen (Arbeitssicherheit, Ersthilfe, Hygiene, Datenschutz etc.)</t>
  </si>
  <si>
    <t>tarifliche Einmalzahlungen            (13. Gehalt)/ Leistungsprämien</t>
  </si>
  <si>
    <t>Qualifikationsanforderung</t>
  </si>
  <si>
    <t>Sachaufwand pauschal</t>
  </si>
  <si>
    <t>Summe der Vollzeitkräfte (VZK)</t>
  </si>
  <si>
    <t xml:space="preserve">Abzüge pro VZK </t>
  </si>
  <si>
    <t>Nettoarbeitszeit einer VZK pro Jahr</t>
  </si>
  <si>
    <t>fallübergreifende Leistungen</t>
  </si>
  <si>
    <t>Summe fallübergreifende Leistungen</t>
  </si>
  <si>
    <t>fallübergreifende Leistungen insg. pro Woche</t>
  </si>
  <si>
    <t xml:space="preserve">Durchschn. fallübergreifende Leistungen pro VZK </t>
  </si>
  <si>
    <t>fallbezogene indirekte Leistungen</t>
  </si>
  <si>
    <t>Summe fallbezogene indirekte 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</si>
</sst>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0.00\ &quot;€&quot;;[Red]\-#,##0.00\ &quot;€&quot;"/>
    <numFmt numFmtId="44" formatCode="_-* #,##0.00\ &quot;€&quot;_-;\-* #,##0.00\ &quot;€&quot;_-;_-* &quot;-&quot;??\ &quot;€&quot;_-;_-@_-"/>
    <numFmt numFmtId="43" formatCode="_-* #,##0.00\ _€_-;\-* #,##0.00\ _€_-;_-* &quot;-&quot;??\ _€_-;_-@_-"/>
    <numFmt numFmtId="164" formatCode="#,##0.00\ &quot;€&quot;"/>
    <numFmt numFmtId="165" formatCode="#,##0_ ;[Red]\-#,##0\ "/>
    <numFmt numFmtId="166" formatCode="0.0%"/>
    <numFmt numFmtId="167" formatCode="0.000"/>
    <numFmt numFmtId="168" formatCode="0.000%"/>
    <numFmt numFmtId="169" formatCode="#,##0.00\ &quot;DM&quot;;[Red]\-#,##0.00\ &quot;DM&quot;"/>
    <numFmt numFmtId="170" formatCode="_-* #,##0.00\ &quot;€&quot;_-;\-* #,##0.00\ &quot;€&quot;_-;_-* &quot;-&quot;???\ &quot;€&quot;_-;_-@_-"/>
    <numFmt numFmtId="171" formatCode="#,##0.000\ &quot;€&quot;"/>
    <numFmt numFmtId="172" formatCode="#,##0.00\ _€"/>
    <numFmt numFmtId="173" formatCode="[hh]:mm"/>
  </numFmts>
  <fonts count="53">
    <font>
      <sz val="11"/>
      <color theme="1"/>
      <name val="Calibri"/>
      <family val="2"/>
      <scheme val="minor"/>
    </font>
    <font>
      <sz val="11"/>
      <color theme="1"/>
      <name val="Calibri"/>
      <family val="2"/>
      <scheme val="minor"/>
    </font>
    <font>
      <sz val="12"/>
      <color theme="1"/>
      <name val="Arial"/>
      <family val="2"/>
    </font>
    <font>
      <b/>
      <sz val="11"/>
      <color theme="1"/>
      <name val="Arial"/>
      <family val="2"/>
    </font>
    <font>
      <sz val="11"/>
      <color theme="1"/>
      <name val="Arial"/>
      <family val="2"/>
    </font>
    <font>
      <sz val="9"/>
      <color theme="1"/>
      <name val="Arial"/>
      <family val="2"/>
    </font>
    <font>
      <b/>
      <sz val="14"/>
      <color theme="1"/>
      <name val="Arial"/>
      <family val="2"/>
    </font>
    <font>
      <sz val="11"/>
      <name val="AWO Fago Office"/>
    </font>
    <font>
      <sz val="10"/>
      <name val="Arial"/>
      <family val="2"/>
    </font>
    <font>
      <sz val="11"/>
      <name val="Arial"/>
      <family val="2"/>
    </font>
    <font>
      <b/>
      <sz val="14"/>
      <name val="Arial"/>
      <family val="2"/>
    </font>
    <font>
      <b/>
      <sz val="10"/>
      <name val="Arial"/>
      <family val="2"/>
    </font>
    <font>
      <sz val="8"/>
      <color theme="1"/>
      <name val="Arial"/>
      <family val="2"/>
    </font>
    <font>
      <b/>
      <sz val="12"/>
      <name val="Arial"/>
      <family val="2"/>
    </font>
    <font>
      <b/>
      <sz val="11"/>
      <color indexed="8"/>
      <name val="Arial"/>
      <family val="2"/>
    </font>
    <font>
      <b/>
      <sz val="11"/>
      <color rgb="FFFF0000"/>
      <name val="Arial"/>
      <family val="2"/>
    </font>
    <font>
      <sz val="11"/>
      <color indexed="8"/>
      <name val="Arial"/>
      <family val="2"/>
    </font>
    <font>
      <i/>
      <sz val="8"/>
      <color theme="1"/>
      <name val="Arial"/>
      <family val="2"/>
    </font>
    <font>
      <sz val="8"/>
      <color indexed="81"/>
      <name val="Tahoma"/>
      <family val="2"/>
    </font>
    <font>
      <b/>
      <sz val="8"/>
      <color indexed="81"/>
      <name val="Tahoma"/>
      <family val="2"/>
    </font>
    <font>
      <sz val="14"/>
      <color theme="1"/>
      <name val="Arial"/>
      <family val="2"/>
    </font>
    <font>
      <b/>
      <u/>
      <sz val="11"/>
      <color theme="1"/>
      <name val="Arial"/>
      <family val="2"/>
    </font>
    <font>
      <sz val="10"/>
      <name val="MS Sans Serif"/>
      <family val="2"/>
    </font>
    <font>
      <b/>
      <sz val="11"/>
      <name val="Arial"/>
      <family val="2"/>
    </font>
    <font>
      <sz val="10"/>
      <color theme="1"/>
      <name val="Arial"/>
      <family val="2"/>
    </font>
    <font>
      <i/>
      <sz val="10"/>
      <name val="Arial"/>
      <family val="2"/>
    </font>
    <font>
      <i/>
      <sz val="11"/>
      <color theme="1"/>
      <name val="Arial"/>
      <family val="2"/>
    </font>
    <font>
      <b/>
      <sz val="9"/>
      <color theme="1"/>
      <name val="Arial"/>
      <family val="2"/>
    </font>
    <font>
      <b/>
      <i/>
      <sz val="8"/>
      <color theme="3" tint="0.39997558519241921"/>
      <name val="Arial"/>
      <family val="2"/>
    </font>
    <font>
      <sz val="9"/>
      <color indexed="81"/>
      <name val="Tahoma"/>
      <family val="2"/>
    </font>
    <font>
      <b/>
      <sz val="9"/>
      <color indexed="81"/>
      <name val="Tahoma"/>
      <family val="2"/>
    </font>
    <font>
      <sz val="10"/>
      <name val="AWO Fago Office"/>
    </font>
    <font>
      <sz val="10"/>
      <color rgb="FFFF0000"/>
      <name val="AWO Fago Office"/>
    </font>
    <font>
      <sz val="11"/>
      <color rgb="FFFF0000"/>
      <name val="Arial"/>
      <family val="2"/>
    </font>
    <font>
      <i/>
      <sz val="9"/>
      <color theme="1"/>
      <name val="Arial"/>
      <family val="2"/>
    </font>
    <font>
      <b/>
      <i/>
      <sz val="11"/>
      <color indexed="8"/>
      <name val="Arial"/>
      <family val="2"/>
    </font>
    <font>
      <b/>
      <sz val="9"/>
      <color rgb="FFFF0000"/>
      <name val="Arial"/>
      <family val="2"/>
    </font>
    <font>
      <b/>
      <sz val="10"/>
      <color rgb="FFFF0000"/>
      <name val="Arial"/>
      <family val="2"/>
    </font>
    <font>
      <b/>
      <sz val="11"/>
      <color theme="0"/>
      <name val="Arial"/>
      <family val="2"/>
    </font>
    <font>
      <sz val="9"/>
      <color indexed="81"/>
      <name val="Segoe UI"/>
      <family val="2"/>
    </font>
    <font>
      <u/>
      <sz val="11"/>
      <color theme="10"/>
      <name val="Calibri"/>
      <family val="2"/>
      <scheme val="minor"/>
    </font>
    <font>
      <b/>
      <sz val="10"/>
      <color theme="0"/>
      <name val="Arial"/>
      <family val="2"/>
    </font>
    <font>
      <b/>
      <sz val="10"/>
      <color theme="1"/>
      <name val="Arial"/>
      <family val="2"/>
    </font>
    <font>
      <sz val="10"/>
      <color theme="0"/>
      <name val="Arial"/>
      <family val="2"/>
    </font>
    <font>
      <b/>
      <sz val="9"/>
      <color indexed="81"/>
      <name val="Segoe UI"/>
      <family val="2"/>
    </font>
    <font>
      <sz val="11"/>
      <name val="Symbol"/>
      <family val="1"/>
      <charset val="2"/>
    </font>
    <font>
      <sz val="10"/>
      <color indexed="81"/>
      <name val="Tahoma"/>
      <family val="2"/>
    </font>
    <font>
      <u/>
      <sz val="10"/>
      <color indexed="81"/>
      <name val="Tahoma"/>
      <family val="2"/>
    </font>
    <font>
      <sz val="10"/>
      <color rgb="FFFF0000"/>
      <name val="Arial"/>
      <family val="2"/>
    </font>
    <font>
      <sz val="8"/>
      <name val="Arial"/>
      <family val="2"/>
    </font>
    <font>
      <sz val="9"/>
      <color rgb="FFFF0000"/>
      <name val="AWO Fago Office"/>
    </font>
    <font>
      <sz val="11"/>
      <color theme="0"/>
      <name val="Arial"/>
      <family val="2"/>
    </font>
    <font>
      <u/>
      <sz val="10"/>
      <color theme="10"/>
      <name val="Arial"/>
      <family val="2"/>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4"/>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double">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bottom/>
      <diagonal/>
    </border>
    <border>
      <left style="medium">
        <color indexed="64"/>
      </left>
      <right/>
      <top/>
      <bottom/>
      <diagonal/>
    </border>
    <border>
      <left/>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ck">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top/>
      <bottom style="thick">
        <color indexed="64"/>
      </bottom>
      <diagonal/>
    </border>
    <border>
      <left style="medium">
        <color indexed="64"/>
      </left>
      <right/>
      <top/>
      <bottom style="thin">
        <color indexed="64"/>
      </bottom>
      <diagonal/>
    </border>
    <border>
      <left style="thin">
        <color theme="0"/>
      </left>
      <right/>
      <top/>
      <bottom/>
      <diagonal/>
    </border>
    <border>
      <left style="thin">
        <color indexed="64"/>
      </left>
      <right style="thin">
        <color theme="0"/>
      </right>
      <top/>
      <bottom/>
      <diagonal/>
    </border>
    <border>
      <left style="medium">
        <color indexed="64"/>
      </left>
      <right style="medium">
        <color indexed="64"/>
      </right>
      <top style="thin">
        <color indexed="64"/>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2" fillId="0" borderId="0"/>
    <xf numFmtId="0" fontId="22" fillId="0" borderId="0"/>
    <xf numFmtId="0" fontId="40" fillId="0" borderId="0" applyNumberFormat="0" applyFill="0" applyBorder="0" applyAlignment="0" applyProtection="0"/>
  </cellStyleXfs>
  <cellXfs count="739">
    <xf numFmtId="0" fontId="0" fillId="0" borderId="0" xfId="0"/>
    <xf numFmtId="0" fontId="4" fillId="0" borderId="0" xfId="0" applyFont="1"/>
    <xf numFmtId="49" fontId="3" fillId="0" borderId="0" xfId="0" applyNumberFormat="1" applyFont="1"/>
    <xf numFmtId="49" fontId="4" fillId="0" borderId="0" xfId="0" applyNumberFormat="1" applyFont="1"/>
    <xf numFmtId="0" fontId="5" fillId="0" borderId="0" xfId="0" applyFont="1" applyFill="1" applyBorder="1" applyAlignment="1">
      <alignment horizontal="center" vertical="center" wrapText="1"/>
    </xf>
    <xf numFmtId="0" fontId="4" fillId="0" borderId="0" xfId="0" applyFont="1" applyFill="1"/>
    <xf numFmtId="0" fontId="4" fillId="0" borderId="0" xfId="0" applyFont="1" applyFill="1" applyBorder="1"/>
    <xf numFmtId="0" fontId="7" fillId="0" borderId="0" xfId="0" applyFont="1"/>
    <xf numFmtId="49" fontId="7" fillId="0" borderId="0" xfId="0" applyNumberFormat="1" applyFont="1" applyAlignment="1"/>
    <xf numFmtId="4" fontId="7" fillId="0" borderId="0" xfId="0" applyNumberFormat="1" applyFont="1"/>
    <xf numFmtId="49" fontId="8" fillId="0" borderId="14" xfId="0" quotePrefix="1" applyNumberFormat="1" applyFont="1" applyBorder="1" applyAlignment="1"/>
    <xf numFmtId="0" fontId="8" fillId="0" borderId="16" xfId="0" quotePrefix="1" applyFont="1" applyBorder="1" applyAlignment="1">
      <alignment horizontal="left"/>
    </xf>
    <xf numFmtId="49" fontId="8" fillId="0" borderId="10" xfId="0" applyNumberFormat="1" applyFont="1" applyBorder="1" applyAlignment="1"/>
    <xf numFmtId="0" fontId="8" fillId="0" borderId="9" xfId="0" quotePrefix="1" applyFont="1" applyBorder="1" applyAlignment="1">
      <alignment horizontal="left"/>
    </xf>
    <xf numFmtId="0" fontId="8" fillId="0" borderId="0" xfId="0" quotePrefix="1" applyFont="1" applyBorder="1" applyAlignment="1">
      <alignment horizontal="left"/>
    </xf>
    <xf numFmtId="49" fontId="8" fillId="0" borderId="7" xfId="0" applyNumberFormat="1" applyFont="1" applyBorder="1" applyAlignment="1"/>
    <xf numFmtId="0" fontId="8" fillId="0" borderId="8" xfId="0" applyFont="1" applyBorder="1"/>
    <xf numFmtId="0" fontId="8" fillId="0" borderId="15" xfId="0" quotePrefix="1" applyFont="1" applyBorder="1" applyAlignment="1">
      <alignment horizontal="left"/>
    </xf>
    <xf numFmtId="0" fontId="8" fillId="0" borderId="15" xfId="0" applyFont="1" applyBorder="1"/>
    <xf numFmtId="0" fontId="8" fillId="0" borderId="16" xfId="0" applyFont="1" applyBorder="1"/>
    <xf numFmtId="0" fontId="8" fillId="0" borderId="16" xfId="0" applyNumberFormat="1" applyFont="1" applyBorder="1"/>
    <xf numFmtId="49" fontId="9" fillId="0" borderId="0" xfId="0" applyNumberFormat="1" applyFont="1" applyAlignment="1"/>
    <xf numFmtId="0" fontId="9" fillId="0" borderId="0" xfId="0" applyFont="1"/>
    <xf numFmtId="49" fontId="8" fillId="0" borderId="12" xfId="0" quotePrefix="1" applyNumberFormat="1" applyFont="1" applyBorder="1" applyAlignment="1"/>
    <xf numFmtId="0" fontId="8" fillId="0" borderId="12" xfId="0" applyFont="1" applyBorder="1"/>
    <xf numFmtId="0" fontId="8" fillId="0" borderId="17" xfId="0" applyFont="1" applyBorder="1"/>
    <xf numFmtId="0" fontId="8" fillId="0" borderId="13" xfId="0" applyFont="1" applyBorder="1"/>
    <xf numFmtId="0" fontId="8" fillId="0" borderId="17" xfId="0" quotePrefix="1" applyFont="1" applyBorder="1" applyAlignment="1">
      <alignment horizontal="left"/>
    </xf>
    <xf numFmtId="0" fontId="8" fillId="0" borderId="18" xfId="0" quotePrefix="1" applyFont="1" applyBorder="1" applyAlignment="1">
      <alignment horizontal="left"/>
    </xf>
    <xf numFmtId="49" fontId="8" fillId="0" borderId="14" xfId="0" applyNumberFormat="1" applyFont="1" applyBorder="1" applyAlignment="1"/>
    <xf numFmtId="0" fontId="8" fillId="0" borderId="14" xfId="0" applyFont="1" applyBorder="1"/>
    <xf numFmtId="0" fontId="8" fillId="0" borderId="4" xfId="0" applyFont="1" applyBorder="1"/>
    <xf numFmtId="0" fontId="8" fillId="0" borderId="7" xfId="0" applyFont="1" applyBorder="1"/>
    <xf numFmtId="0" fontId="8" fillId="0" borderId="11" xfId="0" applyFont="1" applyBorder="1"/>
    <xf numFmtId="0" fontId="8" fillId="0" borderId="6" xfId="0" applyFont="1" applyBorder="1"/>
    <xf numFmtId="49" fontId="11" fillId="0" borderId="14" xfId="0" quotePrefix="1" applyNumberFormat="1" applyFont="1" applyBorder="1" applyAlignment="1"/>
    <xf numFmtId="0" fontId="8" fillId="0" borderId="0" xfId="0" applyFont="1"/>
    <xf numFmtId="0" fontId="11" fillId="0" borderId="15" xfId="0" applyFont="1" applyBorder="1"/>
    <xf numFmtId="0" fontId="11" fillId="0" borderId="0" xfId="0" applyFont="1" applyBorder="1"/>
    <xf numFmtId="0" fontId="11" fillId="0" borderId="16" xfId="0" applyFont="1" applyBorder="1"/>
    <xf numFmtId="49" fontId="11" fillId="0" borderId="7" xfId="0" applyNumberFormat="1" applyFont="1" applyBorder="1" applyAlignment="1"/>
    <xf numFmtId="0" fontId="11" fillId="0" borderId="11" xfId="0" applyFont="1" applyBorder="1"/>
    <xf numFmtId="0" fontId="11" fillId="0" borderId="8" xfId="0" applyFont="1" applyBorder="1"/>
    <xf numFmtId="49" fontId="8" fillId="0" borderId="20" xfId="0" applyNumberFormat="1" applyFont="1" applyBorder="1" applyAlignment="1"/>
    <xf numFmtId="0" fontId="8" fillId="0" borderId="20" xfId="0" applyFont="1" applyBorder="1"/>
    <xf numFmtId="49" fontId="8" fillId="0" borderId="0" xfId="0" applyNumberFormat="1" applyFont="1" applyBorder="1" applyAlignment="1"/>
    <xf numFmtId="0" fontId="8" fillId="0" borderId="0" xfId="0" applyFont="1" applyBorder="1"/>
    <xf numFmtId="49" fontId="8" fillId="0" borderId="4" xfId="0" applyNumberFormat="1" applyFont="1" applyBorder="1" applyAlignment="1"/>
    <xf numFmtId="0" fontId="11" fillId="0" borderId="0" xfId="0" applyFont="1" applyBorder="1" applyAlignment="1">
      <alignment horizontal="right"/>
    </xf>
    <xf numFmtId="0" fontId="11" fillId="0" borderId="0" xfId="0" applyFont="1"/>
    <xf numFmtId="0" fontId="11" fillId="0" borderId="11" xfId="0" applyFont="1" applyBorder="1" applyAlignment="1">
      <alignment horizontal="right"/>
    </xf>
    <xf numFmtId="49" fontId="11" fillId="0" borderId="0" xfId="0" applyNumberFormat="1" applyFont="1" applyBorder="1" applyAlignment="1"/>
    <xf numFmtId="4" fontId="8" fillId="0" borderId="0" xfId="0" applyNumberFormat="1" applyFont="1" applyBorder="1" applyAlignment="1">
      <alignment horizontal="right"/>
    </xf>
    <xf numFmtId="49" fontId="11" fillId="0" borderId="11" xfId="0" applyNumberFormat="1" applyFont="1" applyBorder="1" applyAlignment="1"/>
    <xf numFmtId="49" fontId="8" fillId="0" borderId="6" xfId="0" applyNumberFormat="1" applyFont="1" applyBorder="1" applyAlignment="1"/>
    <xf numFmtId="49" fontId="11" fillId="0" borderId="10" xfId="0" quotePrefix="1" applyNumberFormat="1" applyFont="1" applyBorder="1" applyAlignment="1"/>
    <xf numFmtId="49" fontId="8" fillId="0" borderId="0" xfId="0" applyNumberFormat="1" applyFont="1" applyAlignment="1"/>
    <xf numFmtId="4" fontId="8" fillId="0" borderId="0" xfId="0" applyNumberFormat="1" applyFont="1"/>
    <xf numFmtId="0" fontId="8" fillId="0" borderId="0" xfId="0" applyFont="1" applyAlignment="1">
      <alignment horizontal="right"/>
    </xf>
    <xf numFmtId="2" fontId="4" fillId="0" borderId="0" xfId="0" applyNumberFormat="1" applyFont="1" applyAlignment="1">
      <alignment horizontal="center" vertical="center"/>
    </xf>
    <xf numFmtId="164" fontId="4" fillId="0" borderId="0" xfId="0" applyNumberFormat="1" applyFont="1"/>
    <xf numFmtId="0" fontId="5" fillId="0" borderId="0" xfId="0" applyFont="1" applyAlignment="1">
      <alignment horizontal="center" vertical="center" wrapText="1"/>
    </xf>
    <xf numFmtId="2" fontId="4" fillId="0" borderId="0" xfId="0" applyNumberFormat="1" applyFont="1" applyFill="1" applyBorder="1" applyAlignment="1">
      <alignment horizontal="center" vertical="center"/>
    </xf>
    <xf numFmtId="164" fontId="4" fillId="0" borderId="0" xfId="0" applyNumberFormat="1" applyFont="1" applyFill="1" applyBorder="1"/>
    <xf numFmtId="49" fontId="3" fillId="0" borderId="0" xfId="0" applyNumberFormat="1" applyFont="1" applyAlignment="1">
      <alignment vertical="center"/>
    </xf>
    <xf numFmtId="0" fontId="3" fillId="0" borderId="0" xfId="0" applyFont="1" applyAlignment="1">
      <alignment vertical="center"/>
    </xf>
    <xf numFmtId="164" fontId="3" fillId="0" borderId="0" xfId="0" applyNumberFormat="1" applyFont="1" applyAlignment="1">
      <alignment vertical="center"/>
    </xf>
    <xf numFmtId="0" fontId="4" fillId="0" borderId="0" xfId="0" applyFont="1" applyAlignment="1">
      <alignment vertical="center"/>
    </xf>
    <xf numFmtId="2" fontId="4" fillId="0" borderId="0" xfId="0" applyNumberFormat="1" applyFont="1" applyAlignment="1">
      <alignment vertical="center"/>
    </xf>
    <xf numFmtId="164" fontId="4" fillId="0" borderId="0" xfId="0" applyNumberFormat="1" applyFont="1" applyAlignment="1">
      <alignment vertical="center"/>
    </xf>
    <xf numFmtId="0" fontId="4" fillId="0" borderId="1" xfId="0" applyFont="1" applyBorder="1" applyAlignment="1">
      <alignment vertical="center"/>
    </xf>
    <xf numFmtId="0" fontId="4" fillId="0" borderId="1" xfId="0" applyFont="1" applyFill="1" applyBorder="1" applyAlignment="1">
      <alignment vertical="center"/>
    </xf>
    <xf numFmtId="0" fontId="4" fillId="0" borderId="0" xfId="0" applyFont="1" applyBorder="1" applyAlignment="1">
      <alignment vertical="center"/>
    </xf>
    <xf numFmtId="0" fontId="4" fillId="0" borderId="0" xfId="0" applyFont="1" applyFill="1" applyBorder="1" applyAlignment="1">
      <alignment vertical="center"/>
    </xf>
    <xf numFmtId="49" fontId="4" fillId="0" borderId="0" xfId="0" applyNumberFormat="1" applyFont="1" applyAlignment="1">
      <alignment horizontal="center" vertical="center"/>
    </xf>
    <xf numFmtId="165" fontId="4" fillId="0" borderId="0" xfId="0" applyNumberFormat="1" applyFont="1" applyAlignment="1">
      <alignment horizontal="center" vertical="center"/>
    </xf>
    <xf numFmtId="165" fontId="4" fillId="0" borderId="0" xfId="0" applyNumberFormat="1" applyFont="1" applyFill="1" applyAlignment="1">
      <alignment horizontal="center" vertical="center"/>
    </xf>
    <xf numFmtId="8" fontId="4" fillId="0" borderId="0" xfId="0" applyNumberFormat="1" applyFont="1"/>
    <xf numFmtId="165" fontId="4" fillId="0" borderId="4" xfId="1" applyNumberFormat="1" applyFont="1" applyFill="1" applyBorder="1" applyAlignment="1">
      <alignment horizontal="center" vertical="center" wrapText="1"/>
    </xf>
    <xf numFmtId="0" fontId="4" fillId="0" borderId="0" xfId="0" applyFont="1" applyAlignment="1">
      <alignment horizontal="center" vertical="center" wrapText="1"/>
    </xf>
    <xf numFmtId="165" fontId="4" fillId="0" borderId="6" xfId="1" applyNumberFormat="1" applyFont="1" applyFill="1" applyBorder="1" applyAlignment="1">
      <alignment horizontal="center" vertical="center" wrapText="1"/>
    </xf>
    <xf numFmtId="0" fontId="14" fillId="0" borderId="0" xfId="0" applyFont="1"/>
    <xf numFmtId="165" fontId="4" fillId="0" borderId="1" xfId="0" applyNumberFormat="1" applyFont="1" applyFill="1" applyBorder="1" applyAlignment="1">
      <alignment horizontal="center" vertical="center"/>
    </xf>
    <xf numFmtId="164" fontId="14" fillId="0" borderId="0" xfId="0" applyNumberFormat="1" applyFont="1" applyAlignment="1">
      <alignment vertical="center"/>
    </xf>
    <xf numFmtId="164" fontId="5" fillId="0" borderId="6" xfId="3" applyNumberFormat="1" applyFont="1" applyBorder="1" applyAlignment="1">
      <alignment horizontal="center" vertical="center" wrapText="1"/>
    </xf>
    <xf numFmtId="9" fontId="5" fillId="0" borderId="6" xfId="2" applyFont="1" applyFill="1" applyBorder="1" applyAlignment="1">
      <alignment horizontal="center" vertical="center" wrapText="1"/>
    </xf>
    <xf numFmtId="0" fontId="4" fillId="0" borderId="0" xfId="0" applyFont="1" applyBorder="1"/>
    <xf numFmtId="0" fontId="5" fillId="0" borderId="0" xfId="0" applyFont="1" applyBorder="1" applyAlignment="1">
      <alignment horizontal="center" vertical="center" wrapText="1"/>
    </xf>
    <xf numFmtId="0" fontId="4" fillId="0" borderId="0" xfId="0" applyFont="1" applyBorder="1" applyAlignment="1">
      <alignment horizontal="center" vertical="center" wrapText="1"/>
    </xf>
    <xf numFmtId="8" fontId="20" fillId="0" borderId="0" xfId="0" applyNumberFormat="1" applyFont="1" applyAlignment="1">
      <alignment horizontal="center"/>
    </xf>
    <xf numFmtId="8" fontId="2" fillId="0" borderId="0" xfId="0" applyNumberFormat="1" applyFont="1" applyAlignment="1">
      <alignment horizontal="center"/>
    </xf>
    <xf numFmtId="0" fontId="14" fillId="0" borderId="0" xfId="0" applyFont="1" applyAlignment="1">
      <alignment vertical="center"/>
    </xf>
    <xf numFmtId="2" fontId="4" fillId="0" borderId="1" xfId="0" applyNumberFormat="1" applyFont="1" applyBorder="1" applyAlignment="1">
      <alignment vertical="center"/>
    </xf>
    <xf numFmtId="8" fontId="4" fillId="0" borderId="1" xfId="0" applyNumberFormat="1" applyFont="1" applyBorder="1" applyAlignment="1">
      <alignment vertical="center"/>
    </xf>
    <xf numFmtId="0" fontId="4" fillId="0" borderId="0" xfId="0" applyFont="1" applyFill="1" applyBorder="1" applyAlignment="1">
      <alignment horizontal="center" vertical="center"/>
    </xf>
    <xf numFmtId="8" fontId="4" fillId="0" borderId="0" xfId="1" applyNumberFormat="1" applyFont="1" applyBorder="1" applyAlignment="1">
      <alignment vertical="center"/>
    </xf>
    <xf numFmtId="0" fontId="3" fillId="0" borderId="0" xfId="0" applyFont="1" applyBorder="1" applyAlignment="1">
      <alignment vertical="center"/>
    </xf>
    <xf numFmtId="0" fontId="11" fillId="0" borderId="0" xfId="0" applyFont="1" applyBorder="1" applyAlignment="1">
      <alignment vertical="center"/>
    </xf>
    <xf numFmtId="0" fontId="21" fillId="0" borderId="0" xfId="0" applyFont="1" applyBorder="1" applyAlignment="1">
      <alignment vertical="center"/>
    </xf>
    <xf numFmtId="0" fontId="11" fillId="0" borderId="0" xfId="0" applyFont="1" applyBorder="1" applyAlignment="1">
      <alignment horizontal="center" vertical="center"/>
    </xf>
    <xf numFmtId="167" fontId="3" fillId="0" borderId="0" xfId="0" applyNumberFormat="1"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44" fontId="4" fillId="0" borderId="0" xfId="1" applyFont="1" applyBorder="1"/>
    <xf numFmtId="44" fontId="4" fillId="0" borderId="0" xfId="1" applyFont="1"/>
    <xf numFmtId="0" fontId="11" fillId="0" borderId="1" xfId="0" applyFont="1" applyBorder="1" applyAlignment="1">
      <alignment horizontal="center" vertical="center"/>
    </xf>
    <xf numFmtId="0" fontId="3" fillId="0" borderId="1" xfId="0" applyFont="1" applyBorder="1" applyAlignment="1">
      <alignment horizontal="center" vertical="center"/>
    </xf>
    <xf numFmtId="44" fontId="4" fillId="0" borderId="1" xfId="1" applyFont="1" applyFill="1" applyBorder="1" applyAlignment="1">
      <alignment vertical="center"/>
    </xf>
    <xf numFmtId="2" fontId="3" fillId="0" borderId="25" xfId="0" applyNumberFormat="1" applyFont="1" applyBorder="1" applyAlignment="1">
      <alignment vertical="center"/>
    </xf>
    <xf numFmtId="44" fontId="4" fillId="0" borderId="0" xfId="0" applyNumberFormat="1" applyFont="1" applyAlignment="1">
      <alignment vertical="center"/>
    </xf>
    <xf numFmtId="8" fontId="3" fillId="0" borderId="25" xfId="0" applyNumberFormat="1" applyFont="1" applyBorder="1" applyAlignment="1">
      <alignment vertical="center"/>
    </xf>
    <xf numFmtId="0" fontId="4" fillId="0" borderId="11" xfId="0" applyFont="1" applyBorder="1" applyAlignment="1">
      <alignment vertical="center"/>
    </xf>
    <xf numFmtId="44" fontId="3" fillId="0" borderId="25" xfId="0" applyNumberFormat="1" applyFont="1" applyFill="1" applyBorder="1" applyAlignment="1">
      <alignment vertical="center"/>
    </xf>
    <xf numFmtId="44" fontId="4" fillId="2" borderId="1" xfId="0" applyNumberFormat="1" applyFont="1" applyFill="1" applyBorder="1" applyAlignment="1">
      <alignment vertical="center"/>
    </xf>
    <xf numFmtId="8" fontId="4" fillId="2" borderId="1" xfId="0" applyNumberFormat="1" applyFont="1" applyFill="1" applyBorder="1" applyAlignment="1">
      <alignment vertical="center"/>
    </xf>
    <xf numFmtId="164" fontId="4" fillId="0" borderId="1" xfId="0" applyNumberFormat="1" applyFont="1" applyBorder="1" applyAlignment="1">
      <alignment vertical="center"/>
    </xf>
    <xf numFmtId="164" fontId="4" fillId="0" borderId="0" xfId="0" applyNumberFormat="1" applyFont="1" applyFill="1" applyBorder="1" applyAlignment="1">
      <alignment vertical="center"/>
    </xf>
    <xf numFmtId="49" fontId="14" fillId="0" borderId="0" xfId="0" applyNumberFormat="1" applyFont="1" applyAlignment="1">
      <alignment vertical="center"/>
    </xf>
    <xf numFmtId="49" fontId="14" fillId="0" borderId="0" xfId="0" applyNumberFormat="1" applyFont="1" applyAlignment="1">
      <alignment horizontal="center" vertical="center"/>
    </xf>
    <xf numFmtId="165" fontId="14" fillId="0" borderId="0" xfId="0" applyNumberFormat="1" applyFont="1" applyAlignment="1">
      <alignment horizontal="center" vertical="center"/>
    </xf>
    <xf numFmtId="165" fontId="14" fillId="0" borderId="0" xfId="0" applyNumberFormat="1" applyFont="1" applyFill="1" applyAlignment="1">
      <alignment horizontal="center" vertical="center"/>
    </xf>
    <xf numFmtId="8" fontId="14" fillId="0" borderId="0" xfId="0" applyNumberFormat="1" applyFont="1" applyAlignment="1">
      <alignment vertical="center"/>
    </xf>
    <xf numFmtId="49" fontId="4"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xf>
    <xf numFmtId="165" fontId="4" fillId="0" borderId="0" xfId="0" applyNumberFormat="1" applyFont="1" applyFill="1" applyBorder="1" applyAlignment="1">
      <alignment horizontal="center" vertical="center"/>
    </xf>
    <xf numFmtId="8" fontId="4" fillId="0" borderId="0" xfId="0" applyNumberFormat="1" applyFont="1" applyFill="1" applyBorder="1" applyAlignment="1">
      <alignment vertical="center"/>
    </xf>
    <xf numFmtId="164" fontId="3" fillId="0" borderId="0" xfId="0" applyNumberFormat="1" applyFont="1" applyFill="1" applyBorder="1" applyAlignment="1">
      <alignment horizontal="center" vertical="center"/>
    </xf>
    <xf numFmtId="8" fontId="4" fillId="0" borderId="1" xfId="0" applyNumberFormat="1" applyFont="1" applyFill="1" applyBorder="1" applyAlignment="1">
      <alignment horizontal="center" vertical="center" wrapText="1"/>
    </xf>
    <xf numFmtId="0" fontId="23" fillId="0" borderId="0" xfId="4" applyFont="1" applyFill="1" applyBorder="1" applyProtection="1"/>
    <xf numFmtId="0" fontId="9" fillId="0" borderId="0" xfId="4" applyFont="1" applyFill="1" applyBorder="1" applyProtection="1"/>
    <xf numFmtId="169" fontId="9" fillId="3" borderId="1" xfId="4" applyNumberFormat="1" applyFont="1" applyFill="1" applyBorder="1" applyAlignment="1" applyProtection="1">
      <alignment horizontal="center"/>
    </xf>
    <xf numFmtId="169" fontId="9" fillId="3" borderId="1" xfId="4" applyNumberFormat="1" applyFont="1" applyFill="1" applyBorder="1" applyAlignment="1" applyProtection="1">
      <alignment horizontal="right"/>
    </xf>
    <xf numFmtId="44" fontId="23" fillId="3" borderId="1" xfId="1" applyFont="1" applyFill="1" applyBorder="1" applyAlignment="1" applyProtection="1"/>
    <xf numFmtId="0" fontId="23" fillId="3" borderId="39" xfId="4" applyFont="1" applyFill="1" applyBorder="1" applyAlignment="1" applyProtection="1">
      <alignment horizontal="left"/>
    </xf>
    <xf numFmtId="44" fontId="23" fillId="3" borderId="40" xfId="1" applyFont="1" applyFill="1" applyBorder="1" applyAlignment="1" applyProtection="1"/>
    <xf numFmtId="0" fontId="23" fillId="0" borderId="41" xfId="4" applyFont="1" applyFill="1" applyBorder="1" applyProtection="1"/>
    <xf numFmtId="44" fontId="23" fillId="0" borderId="44" xfId="1" applyFont="1" applyFill="1" applyBorder="1" applyProtection="1"/>
    <xf numFmtId="0" fontId="23" fillId="0" borderId="42" xfId="4" applyFont="1" applyFill="1" applyBorder="1" applyProtection="1"/>
    <xf numFmtId="44" fontId="23" fillId="0" borderId="25" xfId="1" applyFont="1" applyFill="1" applyBorder="1" applyProtection="1"/>
    <xf numFmtId="0" fontId="10" fillId="0" borderId="0" xfId="4" applyFont="1" applyFill="1" applyBorder="1" applyProtection="1"/>
    <xf numFmtId="2" fontId="4" fillId="0" borderId="0" xfId="0" applyNumberFormat="1" applyFont="1" applyBorder="1" applyAlignment="1">
      <alignment vertical="center"/>
    </xf>
    <xf numFmtId="2" fontId="4" fillId="0" borderId="2" xfId="0" applyNumberFormat="1" applyFont="1" applyBorder="1" applyAlignment="1">
      <alignment vertical="center"/>
    </xf>
    <xf numFmtId="0" fontId="4" fillId="0" borderId="10" xfId="0" applyFont="1" applyBorder="1" applyAlignment="1">
      <alignment vertical="center"/>
    </xf>
    <xf numFmtId="2" fontId="3" fillId="0" borderId="0" xfId="0" applyNumberFormat="1" applyFont="1" applyBorder="1" applyAlignment="1">
      <alignment vertical="center"/>
    </xf>
    <xf numFmtId="49" fontId="3" fillId="0" borderId="0"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0" xfId="0" applyNumberFormat="1" applyFont="1" applyBorder="1" applyAlignment="1">
      <alignment horizontal="center" vertical="center"/>
    </xf>
    <xf numFmtId="0" fontId="6" fillId="0" borderId="0" xfId="0" applyFont="1" applyBorder="1" applyAlignment="1"/>
    <xf numFmtId="0" fontId="4" fillId="0" borderId="10" xfId="0" applyFont="1" applyBorder="1" applyAlignment="1">
      <alignment horizontal="right" vertical="center"/>
    </xf>
    <xf numFmtId="2" fontId="4" fillId="5" borderId="1" xfId="0" applyNumberFormat="1" applyFont="1" applyFill="1" applyBorder="1" applyAlignment="1">
      <alignment vertical="center"/>
    </xf>
    <xf numFmtId="8" fontId="5" fillId="0" borderId="8" xfId="0" applyNumberFormat="1" applyFont="1" applyBorder="1" applyAlignment="1">
      <alignment horizontal="center" vertical="center" wrapText="1"/>
    </xf>
    <xf numFmtId="8" fontId="5" fillId="0" borderId="4" xfId="0" applyNumberFormat="1" applyFont="1" applyBorder="1" applyAlignment="1">
      <alignment vertical="center" wrapText="1"/>
    </xf>
    <xf numFmtId="0" fontId="9" fillId="0" borderId="0" xfId="4" applyFont="1" applyProtection="1"/>
    <xf numFmtId="0" fontId="9" fillId="0" borderId="0" xfId="0" applyFont="1" applyProtection="1"/>
    <xf numFmtId="0" fontId="23" fillId="0" borderId="36" xfId="0" applyFont="1" applyBorder="1" applyProtection="1"/>
    <xf numFmtId="0" fontId="9" fillId="0" borderId="36" xfId="0" applyFont="1" applyBorder="1" applyProtection="1"/>
    <xf numFmtId="4" fontId="9" fillId="0" borderId="0" xfId="4" applyNumberFormat="1" applyFont="1" applyProtection="1"/>
    <xf numFmtId="0" fontId="23" fillId="0" borderId="0" xfId="4" applyFont="1" applyProtection="1"/>
    <xf numFmtId="3" fontId="9" fillId="0" borderId="0" xfId="4" applyNumberFormat="1" applyFont="1" applyProtection="1"/>
    <xf numFmtId="4" fontId="23" fillId="0" borderId="0" xfId="4" applyNumberFormat="1" applyFont="1" applyProtection="1"/>
    <xf numFmtId="3" fontId="23" fillId="0" borderId="0" xfId="4" applyNumberFormat="1" applyFont="1" applyProtection="1"/>
    <xf numFmtId="9" fontId="9" fillId="0" borderId="0" xfId="4" applyNumberFormat="1" applyFont="1" applyProtection="1"/>
    <xf numFmtId="0" fontId="3" fillId="0" borderId="0" xfId="0" applyFont="1" applyFill="1" applyBorder="1" applyAlignment="1">
      <alignment horizontal="center" vertical="center"/>
    </xf>
    <xf numFmtId="0" fontId="3" fillId="0" borderId="9" xfId="0" applyFont="1" applyFill="1" applyBorder="1" applyAlignment="1">
      <alignment horizontal="center" vertical="center"/>
    </xf>
    <xf numFmtId="8" fontId="4" fillId="4" borderId="1" xfId="0" applyNumberFormat="1" applyFont="1" applyFill="1" applyBorder="1" applyAlignment="1" applyProtection="1">
      <alignment vertical="center"/>
    </xf>
    <xf numFmtId="9" fontId="4" fillId="4" borderId="1" xfId="2" applyFont="1" applyFill="1" applyBorder="1" applyAlignment="1" applyProtection="1">
      <alignment horizontal="center" vertical="center"/>
    </xf>
    <xf numFmtId="164" fontId="4" fillId="4" borderId="1" xfId="0" applyNumberFormat="1" applyFont="1" applyFill="1" applyBorder="1" applyAlignment="1" applyProtection="1">
      <alignment vertical="center"/>
    </xf>
    <xf numFmtId="10" fontId="4" fillId="4" borderId="1" xfId="2" applyNumberFormat="1" applyFont="1" applyFill="1" applyBorder="1" applyAlignment="1" applyProtection="1">
      <alignment horizontal="center" vertical="center"/>
    </xf>
    <xf numFmtId="44" fontId="4" fillId="4" borderId="1" xfId="0" applyNumberFormat="1" applyFont="1" applyFill="1" applyBorder="1" applyAlignment="1" applyProtection="1">
      <alignment vertical="center"/>
    </xf>
    <xf numFmtId="0" fontId="4" fillId="0" borderId="0" xfId="0" applyFont="1" applyAlignment="1">
      <alignment horizontal="left" vertical="center"/>
    </xf>
    <xf numFmtId="164" fontId="3" fillId="0" borderId="0" xfId="0" applyNumberFormat="1" applyFont="1"/>
    <xf numFmtId="164" fontId="27" fillId="0" borderId="0" xfId="0" applyNumberFormat="1" applyFont="1" applyAlignment="1">
      <alignment vertical="center"/>
    </xf>
    <xf numFmtId="164" fontId="28" fillId="0" borderId="0" xfId="0" applyNumberFormat="1" applyFont="1" applyAlignment="1">
      <alignment vertical="center"/>
    </xf>
    <xf numFmtId="0" fontId="11" fillId="0" borderId="0" xfId="4" applyFont="1" applyFill="1" applyBorder="1" applyProtection="1"/>
    <xf numFmtId="44" fontId="9" fillId="0" borderId="6" xfId="1" applyFont="1" applyFill="1" applyBorder="1" applyAlignment="1" applyProtection="1"/>
    <xf numFmtId="44" fontId="9" fillId="0" borderId="38" xfId="1" applyFont="1" applyFill="1" applyBorder="1" applyAlignment="1" applyProtection="1"/>
    <xf numFmtId="0" fontId="4" fillId="0" borderId="0" xfId="0" applyFont="1" applyProtection="1"/>
    <xf numFmtId="0" fontId="4" fillId="0" borderId="0" xfId="0" applyFont="1" applyBorder="1" applyProtection="1"/>
    <xf numFmtId="168" fontId="5" fillId="0" borderId="1" xfId="2" applyNumberFormat="1" applyFont="1" applyFill="1" applyBorder="1" applyAlignment="1" applyProtection="1">
      <alignment horizontal="center" vertical="center" wrapText="1"/>
    </xf>
    <xf numFmtId="168" fontId="4" fillId="0" borderId="1" xfId="2" applyNumberFormat="1" applyFont="1" applyFill="1" applyBorder="1" applyAlignment="1" applyProtection="1">
      <alignment horizontal="center" vertical="center" wrapText="1"/>
    </xf>
    <xf numFmtId="0" fontId="14" fillId="0" borderId="0" xfId="0" applyFont="1" applyAlignment="1" applyProtection="1"/>
    <xf numFmtId="10" fontId="4" fillId="0" borderId="1" xfId="2" applyNumberFormat="1" applyFont="1" applyBorder="1" applyAlignment="1" applyProtection="1">
      <alignment vertical="center"/>
    </xf>
    <xf numFmtId="164" fontId="4" fillId="0" borderId="1" xfId="0" applyNumberFormat="1" applyFont="1" applyBorder="1" applyAlignment="1" applyProtection="1">
      <alignment vertical="center"/>
    </xf>
    <xf numFmtId="164" fontId="4" fillId="0" borderId="0" xfId="0" applyNumberFormat="1" applyFont="1" applyAlignment="1" applyProtection="1">
      <alignment vertical="center"/>
    </xf>
    <xf numFmtId="0" fontId="4" fillId="0" borderId="0" xfId="0" applyFont="1" applyAlignment="1" applyProtection="1">
      <alignment vertical="center"/>
    </xf>
    <xf numFmtId="0" fontId="14" fillId="0" borderId="0" xfId="0" applyFont="1" applyProtection="1"/>
    <xf numFmtId="0" fontId="5" fillId="0" borderId="0" xfId="0" applyFont="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0" xfId="0" applyFont="1" applyAlignment="1" applyProtection="1">
      <alignment horizontal="center" vertical="center" wrapText="1"/>
    </xf>
    <xf numFmtId="0" fontId="4" fillId="0" borderId="0" xfId="0" applyFont="1" applyFill="1" applyProtection="1"/>
    <xf numFmtId="49" fontId="3" fillId="0" borderId="0" xfId="0" applyNumberFormat="1" applyFont="1" applyAlignment="1" applyProtection="1"/>
    <xf numFmtId="0" fontId="3" fillId="0" borderId="0" xfId="0" applyFont="1" applyAlignment="1" applyProtection="1"/>
    <xf numFmtId="0" fontId="3" fillId="0" borderId="0" xfId="0" applyFont="1" applyAlignment="1" applyProtection="1">
      <alignment vertical="center"/>
    </xf>
    <xf numFmtId="0" fontId="4" fillId="0" borderId="1" xfId="0" applyFont="1" applyFill="1" applyBorder="1" applyAlignment="1" applyProtection="1">
      <alignment vertical="center"/>
    </xf>
    <xf numFmtId="8" fontId="4" fillId="0" borderId="0" xfId="0" applyNumberFormat="1" applyFont="1" applyAlignment="1" applyProtection="1">
      <alignment vertical="center"/>
    </xf>
    <xf numFmtId="0" fontId="4" fillId="0" borderId="1" xfId="0" applyFont="1" applyBorder="1" applyAlignment="1" applyProtection="1">
      <alignment vertical="center"/>
    </xf>
    <xf numFmtId="44" fontId="4" fillId="0" borderId="1" xfId="0" applyNumberFormat="1" applyFont="1" applyBorder="1" applyAlignment="1" applyProtection="1">
      <alignment vertical="center"/>
    </xf>
    <xf numFmtId="44" fontId="4" fillId="0" borderId="0" xfId="0" applyNumberFormat="1" applyFont="1" applyAlignment="1" applyProtection="1">
      <alignment vertical="center"/>
    </xf>
    <xf numFmtId="44" fontId="4" fillId="0" borderId="1" xfId="1" applyFont="1" applyBorder="1" applyAlignment="1" applyProtection="1">
      <alignment vertical="center"/>
    </xf>
    <xf numFmtId="0" fontId="4" fillId="0" borderId="4" xfId="0" applyFont="1" applyBorder="1" applyAlignment="1" applyProtection="1">
      <alignment vertical="center"/>
    </xf>
    <xf numFmtId="0" fontId="16" fillId="0" borderId="0" xfId="0" applyFont="1" applyBorder="1" applyAlignment="1" applyProtection="1">
      <alignment vertical="center"/>
    </xf>
    <xf numFmtId="0" fontId="14" fillId="0" borderId="0" xfId="0" applyFont="1" applyAlignment="1" applyProtection="1">
      <alignment vertical="center"/>
    </xf>
    <xf numFmtId="44" fontId="16" fillId="0" borderId="0" xfId="0" applyNumberFormat="1" applyFont="1" applyAlignment="1" applyProtection="1">
      <alignment vertical="center"/>
    </xf>
    <xf numFmtId="170" fontId="4" fillId="0" borderId="1" xfId="0" applyNumberFormat="1" applyFont="1" applyBorder="1" applyAlignment="1" applyProtection="1">
      <alignment vertical="center"/>
    </xf>
    <xf numFmtId="0" fontId="4" fillId="0" borderId="0" xfId="0" applyFont="1" applyFill="1" applyAlignment="1" applyProtection="1">
      <alignment vertical="center"/>
    </xf>
    <xf numFmtId="164" fontId="14" fillId="0" borderId="0" xfId="0" applyNumberFormat="1" applyFont="1" applyAlignment="1" applyProtection="1">
      <alignment vertical="center"/>
    </xf>
    <xf numFmtId="164" fontId="4" fillId="0" borderId="0" xfId="0" applyNumberFormat="1" applyFont="1" applyBorder="1" applyAlignment="1" applyProtection="1">
      <alignment vertical="center"/>
    </xf>
    <xf numFmtId="49" fontId="3" fillId="0" borderId="0" xfId="0" applyNumberFormat="1" applyFont="1" applyAlignment="1" applyProtection="1">
      <alignment vertical="center"/>
    </xf>
    <xf numFmtId="164" fontId="4" fillId="0" borderId="0" xfId="0" applyNumberFormat="1" applyFont="1" applyFill="1" applyBorder="1" applyAlignment="1" applyProtection="1">
      <alignment vertical="center"/>
    </xf>
    <xf numFmtId="44"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10" fontId="4" fillId="0" borderId="25" xfId="2" applyNumberFormat="1" applyFont="1" applyBorder="1" applyAlignment="1" applyProtection="1">
      <alignment vertical="center"/>
    </xf>
    <xf numFmtId="10" fontId="4" fillId="0" borderId="0" xfId="2" applyNumberFormat="1" applyFont="1" applyAlignment="1" applyProtection="1">
      <alignment vertical="center"/>
    </xf>
    <xf numFmtId="0" fontId="4" fillId="0" borderId="0" xfId="0" applyFont="1" applyFill="1" applyBorder="1" applyAlignment="1" applyProtection="1">
      <alignment vertical="center"/>
    </xf>
    <xf numFmtId="44" fontId="4" fillId="0" borderId="0" xfId="1" applyFont="1" applyFill="1" applyBorder="1" applyAlignment="1" applyProtection="1">
      <alignment vertical="center"/>
    </xf>
    <xf numFmtId="168" fontId="3" fillId="0" borderId="25" xfId="0" applyNumberFormat="1" applyFont="1" applyBorder="1" applyAlignment="1" applyProtection="1">
      <alignment vertical="center"/>
    </xf>
    <xf numFmtId="0" fontId="16" fillId="0" borderId="0" xfId="0" applyFont="1" applyAlignment="1" applyProtection="1">
      <alignment vertical="center"/>
    </xf>
    <xf numFmtId="0" fontId="3" fillId="0" borderId="0" xfId="0" applyFont="1" applyAlignment="1">
      <alignment horizontal="left"/>
    </xf>
    <xf numFmtId="165" fontId="24" fillId="0" borderId="4" xfId="1" applyNumberFormat="1" applyFont="1" applyFill="1" applyBorder="1" applyAlignment="1">
      <alignment horizontal="center" vertical="center" wrapText="1"/>
    </xf>
    <xf numFmtId="8" fontId="4" fillId="0" borderId="1" xfId="0" applyNumberFormat="1" applyFont="1" applyFill="1" applyBorder="1" applyAlignment="1" applyProtection="1">
      <alignment vertical="center"/>
    </xf>
    <xf numFmtId="168" fontId="24" fillId="0" borderId="1" xfId="2" applyNumberFormat="1" applyFont="1" applyFill="1" applyBorder="1" applyAlignment="1" applyProtection="1">
      <alignment horizontal="center" vertical="center" wrapText="1"/>
    </xf>
    <xf numFmtId="164" fontId="4" fillId="0" borderId="1" xfId="0" applyNumberFormat="1" applyFont="1" applyBorder="1" applyAlignment="1" applyProtection="1">
      <alignment horizontal="right" vertical="center"/>
    </xf>
    <xf numFmtId="0" fontId="32" fillId="0" borderId="0" xfId="5" applyFont="1" applyFill="1"/>
    <xf numFmtId="0" fontId="31" fillId="0" borderId="0" xfId="5" applyFont="1" applyFill="1"/>
    <xf numFmtId="0" fontId="9" fillId="0" borderId="15" xfId="0" applyFont="1" applyFill="1" applyBorder="1" applyAlignment="1">
      <alignment horizontal="center"/>
    </xf>
    <xf numFmtId="0" fontId="9" fillId="0" borderId="15" xfId="0" applyFont="1" applyFill="1" applyBorder="1"/>
    <xf numFmtId="0" fontId="9" fillId="0" borderId="1" xfId="0" applyFont="1" applyFill="1" applyBorder="1" applyAlignment="1">
      <alignment horizontal="center"/>
    </xf>
    <xf numFmtId="2" fontId="9" fillId="0" borderId="1" xfId="0" applyNumberFormat="1" applyFont="1" applyFill="1" applyBorder="1" applyAlignment="1">
      <alignment horizontal="center"/>
    </xf>
    <xf numFmtId="0" fontId="4" fillId="0" borderId="1" xfId="0" applyFont="1" applyBorder="1"/>
    <xf numFmtId="4" fontId="9" fillId="0" borderId="1" xfId="0" applyNumberFormat="1" applyFont="1" applyFill="1" applyBorder="1"/>
    <xf numFmtId="0" fontId="4" fillId="0" borderId="1" xfId="0" applyFont="1" applyBorder="1" applyAlignment="1">
      <alignment horizontal="center"/>
    </xf>
    <xf numFmtId="44" fontId="4" fillId="0" borderId="1" xfId="0" applyNumberFormat="1" applyFont="1" applyBorder="1" applyAlignment="1">
      <alignment vertical="center"/>
    </xf>
    <xf numFmtId="44" fontId="3" fillId="0" borderId="25" xfId="0" applyNumberFormat="1" applyFont="1" applyBorder="1"/>
    <xf numFmtId="0" fontId="21" fillId="0" borderId="0" xfId="0" applyFont="1"/>
    <xf numFmtId="0" fontId="9" fillId="0" borderId="2" xfId="0" applyFont="1" applyFill="1" applyBorder="1" applyAlignment="1">
      <alignment horizontal="center"/>
    </xf>
    <xf numFmtId="2" fontId="9" fillId="0" borderId="2" xfId="0" applyNumberFormat="1" applyFont="1" applyFill="1" applyBorder="1"/>
    <xf numFmtId="0" fontId="9" fillId="0" borderId="10" xfId="5" applyFont="1" applyFill="1" applyBorder="1"/>
    <xf numFmtId="2" fontId="9" fillId="0" borderId="10" xfId="0" applyNumberFormat="1" applyFont="1" applyFill="1" applyBorder="1"/>
    <xf numFmtId="164" fontId="4" fillId="0" borderId="2" xfId="0" applyNumberFormat="1" applyFont="1" applyBorder="1" applyAlignment="1">
      <alignment vertical="center"/>
    </xf>
    <xf numFmtId="0" fontId="26" fillId="0" borderId="0" xfId="0" applyFont="1"/>
    <xf numFmtId="164" fontId="26" fillId="0" borderId="1" xfId="0" applyNumberFormat="1" applyFont="1" applyBorder="1" applyAlignment="1">
      <alignment vertical="center"/>
    </xf>
    <xf numFmtId="164" fontId="35" fillId="0" borderId="0" xfId="0" applyNumberFormat="1" applyFont="1" applyAlignment="1">
      <alignment vertical="center"/>
    </xf>
    <xf numFmtId="164" fontId="26" fillId="0" borderId="0" xfId="0" applyNumberFormat="1" applyFont="1" applyFill="1" applyBorder="1" applyAlignment="1">
      <alignment vertical="center"/>
    </xf>
    <xf numFmtId="0" fontId="26" fillId="0" borderId="0" xfId="0" applyFont="1" applyAlignment="1">
      <alignment vertical="center"/>
    </xf>
    <xf numFmtId="0" fontId="33" fillId="0" borderId="0" xfId="0" applyFont="1" applyFill="1" applyBorder="1"/>
    <xf numFmtId="167" fontId="3" fillId="0" borderId="0" xfId="0" applyNumberFormat="1" applyFont="1" applyFill="1" applyBorder="1" applyAlignment="1" applyProtection="1">
      <alignment horizontal="center" vertical="center"/>
    </xf>
    <xf numFmtId="0" fontId="4" fillId="0" borderId="0" xfId="0" applyFont="1" applyBorder="1" applyAlignment="1" applyProtection="1">
      <alignment vertical="center"/>
    </xf>
    <xf numFmtId="0" fontId="4" fillId="0" borderId="0" xfId="0" applyFont="1" applyFill="1" applyBorder="1" applyAlignment="1" applyProtection="1">
      <alignment horizontal="center" vertical="center"/>
    </xf>
    <xf numFmtId="0" fontId="9" fillId="0" borderId="0" xfId="5" applyFont="1" applyFill="1" applyBorder="1" applyProtection="1"/>
    <xf numFmtId="2" fontId="9" fillId="0" borderId="0" xfId="0" applyNumberFormat="1" applyFont="1" applyFill="1" applyBorder="1" applyProtection="1"/>
    <xf numFmtId="0" fontId="33" fillId="0" borderId="0" xfId="0" applyFont="1" applyFill="1" applyBorder="1" applyProtection="1"/>
    <xf numFmtId="0" fontId="31" fillId="0" borderId="0" xfId="5" applyFont="1" applyFill="1" applyProtection="1"/>
    <xf numFmtId="1" fontId="4" fillId="0" borderId="1" xfId="0" applyNumberFormat="1" applyFont="1" applyFill="1" applyBorder="1" applyAlignment="1" applyProtection="1">
      <alignment vertical="center"/>
    </xf>
    <xf numFmtId="0" fontId="4" fillId="0" borderId="4" xfId="0" applyFont="1" applyFill="1" applyBorder="1" applyAlignment="1" applyProtection="1">
      <alignment vertical="center"/>
    </xf>
    <xf numFmtId="3" fontId="3" fillId="0" borderId="25" xfId="0" applyNumberFormat="1" applyFont="1" applyFill="1" applyBorder="1" applyAlignment="1" applyProtection="1">
      <alignment vertical="center"/>
    </xf>
    <xf numFmtId="44" fontId="4" fillId="0" borderId="1" xfId="1" applyNumberFormat="1" applyFont="1" applyBorder="1" applyAlignment="1">
      <alignment vertical="center"/>
    </xf>
    <xf numFmtId="0" fontId="23" fillId="0" borderId="15" xfId="0" applyFont="1" applyFill="1" applyBorder="1" applyAlignment="1">
      <alignment horizontal="center"/>
    </xf>
    <xf numFmtId="0" fontId="23" fillId="0" borderId="15" xfId="0" applyFont="1" applyFill="1" applyBorder="1"/>
    <xf numFmtId="0" fontId="31" fillId="0" borderId="0" xfId="5" applyFont="1" applyBorder="1" applyAlignment="1">
      <alignment horizontal="center"/>
    </xf>
    <xf numFmtId="0" fontId="31" fillId="0" borderId="0" xfId="5" applyFont="1" applyBorder="1"/>
    <xf numFmtId="0" fontId="31" fillId="0" borderId="0" xfId="5" applyFont="1" applyFill="1" applyBorder="1" applyAlignment="1">
      <alignment horizontal="center"/>
    </xf>
    <xf numFmtId="0" fontId="32" fillId="0" borderId="0" xfId="5" applyFont="1" applyFill="1" applyBorder="1"/>
    <xf numFmtId="10" fontId="32" fillId="0" borderId="0" xfId="5" applyNumberFormat="1" applyFont="1" applyFill="1" applyBorder="1"/>
    <xf numFmtId="2" fontId="23" fillId="0" borderId="25" xfId="0" applyNumberFormat="1" applyFont="1" applyFill="1" applyBorder="1"/>
    <xf numFmtId="4" fontId="8" fillId="0" borderId="11" xfId="0" applyNumberFormat="1" applyFont="1" applyFill="1" applyBorder="1" applyAlignment="1">
      <alignment horizontal="center"/>
    </xf>
    <xf numFmtId="0" fontId="15" fillId="0" borderId="0" xfId="0" applyFont="1" applyAlignment="1" applyProtection="1">
      <alignment vertical="center"/>
    </xf>
    <xf numFmtId="171" fontId="4" fillId="0" borderId="1" xfId="0" applyNumberFormat="1" applyFont="1" applyBorder="1" applyAlignment="1" applyProtection="1">
      <alignment vertical="center"/>
    </xf>
    <xf numFmtId="0" fontId="15" fillId="0" borderId="0" xfId="0" applyFont="1"/>
    <xf numFmtId="0" fontId="15" fillId="0" borderId="0" xfId="0" applyFont="1" applyAlignment="1">
      <alignment vertical="center"/>
    </xf>
    <xf numFmtId="0" fontId="36" fillId="0" borderId="0" xfId="0" applyFont="1" applyAlignment="1">
      <alignment horizontal="center" vertical="center" wrapText="1"/>
    </xf>
    <xf numFmtId="0" fontId="15" fillId="0" borderId="0" xfId="0" applyFont="1" applyFill="1"/>
    <xf numFmtId="0" fontId="37" fillId="0" borderId="0" xfId="0" applyFont="1"/>
    <xf numFmtId="49" fontId="5" fillId="0" borderId="0" xfId="1" applyNumberFormat="1" applyFont="1" applyBorder="1" applyAlignment="1">
      <alignment horizontal="center" vertical="center" wrapText="1"/>
    </xf>
    <xf numFmtId="165" fontId="5" fillId="0" borderId="0" xfId="1" applyNumberFormat="1" applyFont="1" applyBorder="1" applyAlignment="1">
      <alignment horizontal="center" vertical="center" wrapText="1"/>
    </xf>
    <xf numFmtId="165" fontId="4" fillId="0" borderId="0" xfId="1" applyNumberFormat="1" applyFont="1" applyFill="1" applyBorder="1" applyAlignment="1">
      <alignment horizontal="center" vertical="center" wrapText="1"/>
    </xf>
    <xf numFmtId="8" fontId="5" fillId="0" borderId="0" xfId="0" applyNumberFormat="1" applyFont="1" applyBorder="1" applyAlignment="1">
      <alignment horizontal="center" vertical="center" wrapText="1"/>
    </xf>
    <xf numFmtId="8" fontId="4" fillId="0" borderId="0" xfId="0" applyNumberFormat="1" applyFont="1" applyFill="1" applyBorder="1" applyAlignment="1">
      <alignment horizontal="center" vertical="center" wrapText="1"/>
    </xf>
    <xf numFmtId="8" fontId="5" fillId="0" borderId="15" xfId="0" applyNumberFormat="1" applyFont="1" applyBorder="1" applyAlignment="1">
      <alignment horizontal="center" vertical="center" wrapText="1"/>
    </xf>
    <xf numFmtId="9" fontId="5" fillId="0" borderId="15" xfId="2" applyFont="1" applyFill="1" applyBorder="1" applyAlignment="1">
      <alignment horizontal="center" vertical="center" wrapText="1"/>
    </xf>
    <xf numFmtId="164" fontId="5" fillId="0" borderId="15" xfId="3" applyNumberFormat="1" applyFont="1" applyBorder="1" applyAlignment="1">
      <alignment horizontal="center" vertical="center" wrapText="1"/>
    </xf>
    <xf numFmtId="0" fontId="5" fillId="0" borderId="15" xfId="0" applyFont="1" applyBorder="1" applyAlignment="1">
      <alignment horizontal="center" vertical="center" wrapText="1"/>
    </xf>
    <xf numFmtId="0" fontId="34" fillId="0" borderId="15" xfId="0" applyFont="1" applyBorder="1" applyAlignment="1">
      <alignment horizontal="center" vertical="center" wrapText="1"/>
    </xf>
    <xf numFmtId="8" fontId="14" fillId="0" borderId="11" xfId="0" applyNumberFormat="1" applyFont="1" applyBorder="1" applyAlignment="1">
      <alignment vertical="center"/>
    </xf>
    <xf numFmtId="0" fontId="14" fillId="0" borderId="11" xfId="0" applyFont="1" applyBorder="1" applyAlignment="1">
      <alignment vertical="center"/>
    </xf>
    <xf numFmtId="164" fontId="14" fillId="0" borderId="11" xfId="0" applyNumberFormat="1" applyFont="1" applyBorder="1" applyAlignment="1">
      <alignment vertical="center"/>
    </xf>
    <xf numFmtId="0" fontId="35" fillId="0" borderId="11" xfId="0" applyFont="1" applyBorder="1" applyAlignment="1">
      <alignment vertical="center"/>
    </xf>
    <xf numFmtId="168" fontId="4" fillId="0" borderId="0" xfId="2" applyNumberFormat="1" applyFont="1" applyFill="1" applyBorder="1" applyAlignment="1" applyProtection="1">
      <alignment horizontal="center" vertical="center" wrapText="1"/>
    </xf>
    <xf numFmtId="168" fontId="5" fillId="0" borderId="0" xfId="2" applyNumberFormat="1" applyFont="1" applyFill="1" applyBorder="1" applyAlignment="1" applyProtection="1">
      <alignment horizontal="center" vertical="center" wrapText="1"/>
    </xf>
    <xf numFmtId="168" fontId="24" fillId="0" borderId="0" xfId="2" applyNumberFormat="1" applyFont="1" applyFill="1" applyBorder="1" applyAlignment="1" applyProtection="1">
      <alignment horizontal="center" vertical="center" wrapText="1"/>
    </xf>
    <xf numFmtId="10" fontId="4" fillId="0" borderId="0" xfId="2" applyNumberFormat="1" applyFont="1" applyFill="1" applyBorder="1" applyAlignment="1" applyProtection="1">
      <alignment horizontal="center" vertical="center"/>
    </xf>
    <xf numFmtId="8" fontId="38" fillId="0" borderId="11" xfId="0" applyNumberFormat="1" applyFont="1" applyBorder="1" applyAlignment="1" applyProtection="1">
      <alignment vertical="center"/>
      <protection locked="0" hidden="1"/>
    </xf>
    <xf numFmtId="10" fontId="4" fillId="0" borderId="0" xfId="2" applyNumberFormat="1" applyFont="1" applyFill="1" applyBorder="1" applyAlignment="1" applyProtection="1">
      <alignment horizontal="center" vertical="center" wrapText="1"/>
    </xf>
    <xf numFmtId="9" fontId="5" fillId="0" borderId="15" xfId="2" applyFont="1" applyFill="1" applyBorder="1" applyAlignment="1">
      <alignment horizontal="left" vertical="center"/>
    </xf>
    <xf numFmtId="164" fontId="5" fillId="0" borderId="15" xfId="3" applyNumberFormat="1" applyFont="1" applyFill="1" applyBorder="1" applyAlignment="1">
      <alignment horizontal="center" vertical="center" wrapText="1"/>
    </xf>
    <xf numFmtId="0" fontId="14" fillId="0" borderId="11" xfId="0" applyFont="1" applyFill="1" applyBorder="1" applyAlignment="1">
      <alignment vertical="center"/>
    </xf>
    <xf numFmtId="164" fontId="14" fillId="0" borderId="11" xfId="0" applyNumberFormat="1" applyFont="1" applyFill="1" applyBorder="1" applyAlignment="1">
      <alignment vertical="center"/>
    </xf>
    <xf numFmtId="0" fontId="9" fillId="0" borderId="3" xfId="0" applyFont="1" applyFill="1" applyBorder="1" applyAlignment="1">
      <alignment horizont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2" fontId="4" fillId="6" borderId="1" xfId="0" applyNumberFormat="1" applyFont="1" applyFill="1" applyBorder="1" applyAlignment="1" applyProtection="1">
      <alignment horizontal="center" vertical="center"/>
      <protection locked="0"/>
    </xf>
    <xf numFmtId="0" fontId="4" fillId="6" borderId="1" xfId="0" applyFont="1" applyFill="1" applyBorder="1" applyAlignment="1" applyProtection="1">
      <alignment vertical="center"/>
      <protection locked="0"/>
    </xf>
    <xf numFmtId="2" fontId="4" fillId="6" borderId="2" xfId="0" applyNumberFormat="1" applyFont="1" applyFill="1" applyBorder="1" applyAlignment="1" applyProtection="1">
      <alignment vertical="center"/>
      <protection locked="0"/>
    </xf>
    <xf numFmtId="164" fontId="4" fillId="6" borderId="1" xfId="0" applyNumberFormat="1" applyFont="1" applyFill="1" applyBorder="1" applyAlignment="1" applyProtection="1">
      <alignment vertical="center"/>
      <protection locked="0"/>
    </xf>
    <xf numFmtId="0" fontId="8" fillId="6" borderId="0" xfId="0" applyFont="1" applyFill="1" applyBorder="1"/>
    <xf numFmtId="0" fontId="11" fillId="0" borderId="48" xfId="0" applyFont="1" applyBorder="1" applyAlignment="1">
      <alignment horizontal="left" vertical="center"/>
    </xf>
    <xf numFmtId="0" fontId="11" fillId="0" borderId="48" xfId="0" applyFont="1" applyBorder="1" applyAlignment="1">
      <alignment horizontal="left" vertical="center" wrapText="1"/>
    </xf>
    <xf numFmtId="4" fontId="11" fillId="0" borderId="48" xfId="0" applyNumberFormat="1" applyFont="1" applyBorder="1" applyAlignment="1">
      <alignment horizontal="right" vertical="center"/>
    </xf>
    <xf numFmtId="2" fontId="11" fillId="0" borderId="48" xfId="0" applyNumberFormat="1" applyFont="1" applyBorder="1" applyAlignment="1">
      <alignment horizontal="right" vertical="center"/>
    </xf>
    <xf numFmtId="49" fontId="11" fillId="0" borderId="48" xfId="0" applyNumberFormat="1" applyFont="1" applyBorder="1" applyAlignment="1"/>
    <xf numFmtId="0" fontId="11" fillId="0" borderId="48" xfId="0" applyFont="1" applyBorder="1"/>
    <xf numFmtId="0" fontId="8" fillId="0" borderId="48" xfId="0" applyFont="1" applyBorder="1"/>
    <xf numFmtId="20" fontId="4" fillId="6" borderId="1" xfId="0" applyNumberFormat="1" applyFont="1" applyFill="1" applyBorder="1" applyAlignment="1" applyProtection="1">
      <alignment vertical="center"/>
      <protection locked="0"/>
    </xf>
    <xf numFmtId="44" fontId="4" fillId="6" borderId="1" xfId="1" applyFont="1" applyFill="1" applyBorder="1" applyAlignment="1" applyProtection="1">
      <alignment vertical="center"/>
      <protection locked="0"/>
    </xf>
    <xf numFmtId="10" fontId="4" fillId="6" borderId="1" xfId="0" applyNumberFormat="1" applyFont="1" applyFill="1" applyBorder="1" applyAlignment="1" applyProtection="1">
      <alignment vertical="center"/>
      <protection locked="0"/>
    </xf>
    <xf numFmtId="2" fontId="4" fillId="6" borderId="1" xfId="1" applyNumberFormat="1" applyFont="1" applyFill="1" applyBorder="1" applyAlignment="1" applyProtection="1">
      <alignment vertical="center"/>
      <protection locked="0"/>
    </xf>
    <xf numFmtId="172" fontId="4" fillId="6" borderId="1" xfId="0" applyNumberFormat="1" applyFont="1" applyFill="1" applyBorder="1" applyAlignment="1" applyProtection="1">
      <alignment vertical="center"/>
      <protection locked="0"/>
    </xf>
    <xf numFmtId="0" fontId="9" fillId="6" borderId="37" xfId="4" applyFont="1" applyFill="1" applyBorder="1" applyAlignment="1" applyProtection="1">
      <alignment horizontal="left"/>
      <protection locked="0"/>
    </xf>
    <xf numFmtId="0" fontId="9" fillId="6" borderId="6" xfId="4" applyNumberFormat="1" applyFont="1" applyFill="1" applyBorder="1" applyAlignment="1" applyProtection="1">
      <alignment horizontal="center"/>
      <protection locked="0"/>
    </xf>
    <xf numFmtId="44" fontId="9" fillId="6" borderId="6" xfId="1" applyFont="1" applyFill="1" applyBorder="1" applyAlignment="1" applyProtection="1">
      <protection locked="0"/>
    </xf>
    <xf numFmtId="0" fontId="9" fillId="6" borderId="39" xfId="4" applyFont="1" applyFill="1" applyBorder="1" applyAlignment="1" applyProtection="1">
      <alignment horizontal="left"/>
      <protection locked="0"/>
    </xf>
    <xf numFmtId="0" fontId="9" fillId="6" borderId="1" xfId="4" applyNumberFormat="1" applyFont="1" applyFill="1" applyBorder="1" applyAlignment="1" applyProtection="1">
      <alignment horizontal="center"/>
      <protection locked="0"/>
    </xf>
    <xf numFmtId="44" fontId="9" fillId="6" borderId="1" xfId="1" applyFont="1" applyFill="1" applyBorder="1" applyAlignment="1" applyProtection="1">
      <protection locked="0"/>
    </xf>
    <xf numFmtId="44" fontId="9" fillId="6" borderId="1" xfId="1" applyFont="1" applyFill="1" applyBorder="1" applyAlignment="1" applyProtection="1">
      <alignment horizontal="center"/>
      <protection locked="0"/>
    </xf>
    <xf numFmtId="0" fontId="9" fillId="6" borderId="1" xfId="4" applyNumberFormat="1" applyFont="1" applyFill="1" applyBorder="1" applyAlignment="1" applyProtection="1">
      <protection locked="0"/>
    </xf>
    <xf numFmtId="3" fontId="9" fillId="6" borderId="6" xfId="4" applyNumberFormat="1" applyFont="1" applyFill="1" applyBorder="1" applyAlignment="1" applyProtection="1">
      <protection locked="0"/>
    </xf>
    <xf numFmtId="3" fontId="9" fillId="6" borderId="1" xfId="4" applyNumberFormat="1" applyFont="1" applyFill="1" applyBorder="1" applyAlignment="1" applyProtection="1">
      <protection locked="0"/>
    </xf>
    <xf numFmtId="3" fontId="9" fillId="6" borderId="1" xfId="0" applyNumberFormat="1" applyFont="1" applyFill="1" applyBorder="1" applyAlignment="1" applyProtection="1">
      <protection locked="0"/>
    </xf>
    <xf numFmtId="44" fontId="9" fillId="6" borderId="45" xfId="1" applyFont="1" applyFill="1" applyBorder="1" applyAlignment="1" applyProtection="1">
      <protection locked="0"/>
    </xf>
    <xf numFmtId="49" fontId="4" fillId="6" borderId="1" xfId="0" applyNumberFormat="1" applyFont="1" applyFill="1" applyBorder="1" applyAlignment="1" applyProtection="1">
      <alignment vertical="center"/>
      <protection locked="0"/>
    </xf>
    <xf numFmtId="49" fontId="4" fillId="6" borderId="1" xfId="0" applyNumberFormat="1" applyFont="1" applyFill="1" applyBorder="1" applyAlignment="1" applyProtection="1">
      <alignment horizontal="center" vertical="center"/>
      <protection locked="0"/>
    </xf>
    <xf numFmtId="165" fontId="4" fillId="6" borderId="1" xfId="0" applyNumberFormat="1" applyFont="1" applyFill="1" applyBorder="1" applyAlignment="1" applyProtection="1">
      <alignment horizontal="center" vertical="center"/>
      <protection locked="0"/>
    </xf>
    <xf numFmtId="49" fontId="4" fillId="6" borderId="6" xfId="0" applyNumberFormat="1" applyFont="1" applyFill="1" applyBorder="1" applyAlignment="1" applyProtection="1">
      <alignment vertical="center"/>
      <protection locked="0"/>
    </xf>
    <xf numFmtId="8" fontId="4" fillId="6" borderId="1" xfId="0" applyNumberFormat="1" applyFont="1" applyFill="1" applyBorder="1" applyAlignment="1" applyProtection="1">
      <alignment vertical="center"/>
      <protection locked="0"/>
    </xf>
    <xf numFmtId="10" fontId="4" fillId="6" borderId="1" xfId="2" applyNumberFormat="1" applyFont="1" applyFill="1" applyBorder="1" applyAlignment="1" applyProtection="1">
      <alignment horizontal="right" vertical="center"/>
      <protection locked="0"/>
    </xf>
    <xf numFmtId="10" fontId="4" fillId="6" borderId="1" xfId="2"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xf>
    <xf numFmtId="0" fontId="13" fillId="0" borderId="1" xfId="0" applyFont="1" applyFill="1" applyBorder="1" applyAlignment="1">
      <alignment horizontal="center" vertical="center"/>
    </xf>
    <xf numFmtId="0" fontId="13" fillId="0" borderId="3" xfId="0" applyFont="1" applyFill="1" applyBorder="1" applyAlignment="1">
      <alignment horizontal="center" vertical="center"/>
    </xf>
    <xf numFmtId="0" fontId="4" fillId="0" borderId="1" xfId="0" applyFont="1" applyFill="1" applyBorder="1" applyAlignment="1">
      <alignment horizontal="center" vertical="center"/>
    </xf>
    <xf numFmtId="168" fontId="9" fillId="6" borderId="1" xfId="2" applyNumberFormat="1" applyFont="1" applyFill="1" applyBorder="1" applyAlignment="1" applyProtection="1">
      <alignment vertical="center"/>
      <protection locked="0"/>
    </xf>
    <xf numFmtId="168" fontId="9" fillId="6" borderId="4" xfId="2" applyNumberFormat="1" applyFont="1" applyFill="1" applyBorder="1" applyAlignment="1" applyProtection="1">
      <alignment vertical="center"/>
      <protection locked="0"/>
    </xf>
    <xf numFmtId="10" fontId="4" fillId="6" borderId="1" xfId="2" applyNumberFormat="1" applyFont="1" applyFill="1" applyBorder="1" applyAlignment="1" applyProtection="1">
      <alignment vertical="center"/>
      <protection locked="0"/>
    </xf>
    <xf numFmtId="44" fontId="4" fillId="6" borderId="1" xfId="2" applyNumberFormat="1" applyFont="1" applyFill="1" applyBorder="1" applyAlignment="1" applyProtection="1">
      <alignment vertical="center"/>
      <protection locked="0"/>
    </xf>
    <xf numFmtId="10" fontId="16" fillId="6" borderId="1" xfId="2" applyNumberFormat="1" applyFont="1" applyFill="1" applyBorder="1" applyAlignment="1" applyProtection="1">
      <alignment vertical="center"/>
      <protection locked="0"/>
    </xf>
    <xf numFmtId="0" fontId="3" fillId="0" borderId="0" xfId="0" applyFont="1" applyBorder="1"/>
    <xf numFmtId="10" fontId="4" fillId="6" borderId="1" xfId="2" applyNumberFormat="1" applyFont="1" applyFill="1" applyBorder="1" applyAlignment="1" applyProtection="1">
      <alignment horizontal="center" vertical="center" wrapText="1"/>
      <protection locked="0"/>
    </xf>
    <xf numFmtId="0" fontId="33" fillId="0" borderId="0" xfId="0" applyFont="1" applyAlignment="1">
      <alignment vertical="center"/>
    </xf>
    <xf numFmtId="168" fontId="4" fillId="6" borderId="1" xfId="0" applyNumberFormat="1" applyFont="1" applyFill="1" applyBorder="1" applyAlignment="1" applyProtection="1">
      <alignment vertical="center"/>
      <protection locked="0"/>
    </xf>
    <xf numFmtId="164" fontId="3" fillId="0" borderId="1" xfId="0" applyNumberFormat="1" applyFont="1" applyBorder="1" applyAlignment="1">
      <alignment vertical="center"/>
    </xf>
    <xf numFmtId="168" fontId="3" fillId="0" borderId="0" xfId="2" applyNumberFormat="1" applyFont="1" applyFill="1" applyBorder="1" applyProtection="1"/>
    <xf numFmtId="49" fontId="10" fillId="0" borderId="0"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1" fillId="0" borderId="0" xfId="0" applyNumberFormat="1" applyFont="1" applyBorder="1" applyAlignment="1">
      <alignment horizontal="left" vertical="center"/>
    </xf>
    <xf numFmtId="49" fontId="8" fillId="0" borderId="10" xfId="0" quotePrefix="1" applyNumberFormat="1" applyFont="1" applyBorder="1" applyAlignment="1"/>
    <xf numFmtId="0" fontId="8" fillId="0" borderId="46" xfId="0" applyFont="1" applyFill="1" applyBorder="1" applyAlignment="1" applyProtection="1"/>
    <xf numFmtId="0" fontId="8" fillId="0" borderId="3" xfId="0" applyFont="1" applyFill="1" applyBorder="1" applyAlignment="1" applyProtection="1"/>
    <xf numFmtId="0" fontId="11" fillId="0" borderId="46" xfId="0" applyFont="1" applyBorder="1" applyAlignment="1">
      <alignment vertical="center"/>
    </xf>
    <xf numFmtId="2" fontId="4" fillId="0" borderId="1" xfId="0" applyNumberFormat="1" applyFont="1" applyFill="1" applyBorder="1" applyAlignment="1" applyProtection="1">
      <alignment horizontal="center" vertical="center"/>
    </xf>
    <xf numFmtId="0" fontId="24" fillId="0" borderId="0" xfId="0" applyFont="1"/>
    <xf numFmtId="0" fontId="41" fillId="7" borderId="0" xfId="0" applyFont="1" applyFill="1" applyAlignment="1">
      <alignment horizontal="center" vertical="center"/>
    </xf>
    <xf numFmtId="0" fontId="8" fillId="7" borderId="0" xfId="0" applyFont="1" applyFill="1" applyAlignment="1">
      <alignment vertical="center" wrapText="1"/>
    </xf>
    <xf numFmtId="0" fontId="41" fillId="7" borderId="0" xfId="0" applyFont="1" applyFill="1" applyBorder="1" applyAlignment="1"/>
    <xf numFmtId="0" fontId="24" fillId="7" borderId="0" xfId="0" applyFont="1" applyFill="1"/>
    <xf numFmtId="0" fontId="24" fillId="7" borderId="50" xfId="0" applyFont="1" applyFill="1" applyBorder="1"/>
    <xf numFmtId="0" fontId="24" fillId="7" borderId="36" xfId="0" applyFont="1" applyFill="1" applyBorder="1"/>
    <xf numFmtId="0" fontId="24" fillId="7" borderId="0" xfId="0" applyFont="1" applyFill="1" applyBorder="1" applyAlignment="1">
      <alignment vertical="center" wrapText="1"/>
    </xf>
    <xf numFmtId="0" fontId="24" fillId="0" borderId="55" xfId="0" applyFont="1" applyBorder="1"/>
    <xf numFmtId="2" fontId="24" fillId="0" borderId="8" xfId="0" applyNumberFormat="1" applyFont="1" applyBorder="1" applyAlignment="1">
      <alignment horizontal="center" vertical="center"/>
    </xf>
    <xf numFmtId="0" fontId="24" fillId="0" borderId="38" xfId="0" applyFont="1" applyBorder="1"/>
    <xf numFmtId="2" fontId="24" fillId="7" borderId="0" xfId="0" applyNumberFormat="1" applyFont="1" applyFill="1"/>
    <xf numFmtId="0" fontId="24" fillId="0" borderId="57" xfId="0" applyFont="1" applyFill="1" applyBorder="1"/>
    <xf numFmtId="2" fontId="24" fillId="0" borderId="3" xfId="0" applyNumberFormat="1" applyFont="1" applyFill="1" applyBorder="1" applyAlignment="1" applyProtection="1">
      <alignment horizontal="center" vertical="center"/>
    </xf>
    <xf numFmtId="0" fontId="24" fillId="0" borderId="40" xfId="0" applyFont="1" applyBorder="1"/>
    <xf numFmtId="0" fontId="24" fillId="0" borderId="59" xfId="0" applyFont="1" applyBorder="1"/>
    <xf numFmtId="2" fontId="24" fillId="0" borderId="3" xfId="0" applyNumberFormat="1" applyFont="1" applyBorder="1" applyAlignment="1">
      <alignment horizontal="center" vertical="center"/>
    </xf>
    <xf numFmtId="0" fontId="24" fillId="7" borderId="0" xfId="0" applyFont="1" applyFill="1" applyBorder="1" applyAlignment="1">
      <alignment horizontal="center" vertical="center" wrapText="1"/>
    </xf>
    <xf numFmtId="2" fontId="24" fillId="0" borderId="16" xfId="0" applyNumberFormat="1" applyFont="1" applyBorder="1" applyAlignment="1">
      <alignment horizontal="center" vertical="center"/>
    </xf>
    <xf numFmtId="0" fontId="24" fillId="0" borderId="45" xfId="0" applyFont="1" applyBorder="1"/>
    <xf numFmtId="0" fontId="42" fillId="7" borderId="0" xfId="0" applyFont="1" applyFill="1" applyBorder="1" applyAlignment="1">
      <alignment vertical="center" wrapText="1"/>
    </xf>
    <xf numFmtId="0" fontId="42" fillId="7" borderId="0" xfId="0" applyFont="1" applyFill="1"/>
    <xf numFmtId="0" fontId="24" fillId="7" borderId="0" xfId="0" applyFont="1" applyFill="1" applyAlignment="1">
      <alignment horizontal="center"/>
    </xf>
    <xf numFmtId="0" fontId="24" fillId="7" borderId="0" xfId="0" applyFont="1" applyFill="1" applyBorder="1"/>
    <xf numFmtId="0" fontId="42" fillId="0" borderId="25" xfId="0" applyFont="1" applyBorder="1" applyAlignment="1">
      <alignment horizontal="center" vertical="center"/>
    </xf>
    <xf numFmtId="0" fontId="42" fillId="0" borderId="52" xfId="0" applyFont="1" applyBorder="1" applyAlignment="1">
      <alignment horizontal="center" vertical="center"/>
    </xf>
    <xf numFmtId="0" fontId="24" fillId="7" borderId="0" xfId="0" applyFont="1" applyFill="1" applyAlignment="1"/>
    <xf numFmtId="2" fontId="24" fillId="0" borderId="65" xfId="0" applyNumberFormat="1" applyFont="1" applyBorder="1" applyAlignment="1">
      <alignment horizontal="center" vertical="center"/>
    </xf>
    <xf numFmtId="0" fontId="24" fillId="7" borderId="0" xfId="0" applyFont="1" applyFill="1" applyAlignment="1">
      <alignment vertical="top"/>
    </xf>
    <xf numFmtId="2" fontId="24" fillId="0" borderId="57" xfId="0" applyNumberFormat="1" applyFont="1" applyBorder="1" applyAlignment="1">
      <alignment horizontal="center" vertical="center"/>
    </xf>
    <xf numFmtId="2" fontId="24" fillId="0" borderId="59" xfId="0" applyNumberFormat="1" applyFont="1" applyBorder="1" applyAlignment="1">
      <alignment horizontal="center" vertical="center"/>
    </xf>
    <xf numFmtId="0" fontId="42" fillId="7" borderId="52" xfId="0" applyFont="1" applyFill="1" applyBorder="1"/>
    <xf numFmtId="0" fontId="42" fillId="7" borderId="36" xfId="0" applyFont="1" applyFill="1" applyBorder="1"/>
    <xf numFmtId="0" fontId="8" fillId="7" borderId="0" xfId="0" applyFont="1" applyFill="1"/>
    <xf numFmtId="0" fontId="42" fillId="7" borderId="67" xfId="0" applyFont="1" applyFill="1" applyBorder="1"/>
    <xf numFmtId="0" fontId="24" fillId="7" borderId="0" xfId="0" applyFont="1" applyFill="1" applyAlignment="1">
      <alignment vertical="top" wrapText="1"/>
    </xf>
    <xf numFmtId="0" fontId="24" fillId="0" borderId="25" xfId="0" applyFont="1" applyBorder="1" applyAlignment="1">
      <alignment horizontal="center" vertical="center"/>
    </xf>
    <xf numFmtId="0" fontId="24" fillId="7" borderId="0" xfId="0" applyFont="1" applyFill="1" applyAlignment="1">
      <alignment horizontal="center" vertical="center"/>
    </xf>
    <xf numFmtId="2" fontId="24" fillId="7" borderId="0" xfId="0" applyNumberFormat="1" applyFont="1" applyFill="1" applyAlignment="1">
      <alignment horizontal="center" vertical="center"/>
    </xf>
    <xf numFmtId="2" fontId="24" fillId="7" borderId="0" xfId="0" applyNumberFormat="1" applyFont="1" applyFill="1" applyAlignment="1">
      <alignment vertical="center"/>
    </xf>
    <xf numFmtId="0" fontId="42" fillId="7" borderId="0" xfId="0" applyFont="1" applyFill="1" applyAlignment="1">
      <alignment vertical="center"/>
    </xf>
    <xf numFmtId="2" fontId="42" fillId="7" borderId="0" xfId="0" applyNumberFormat="1" applyFont="1" applyFill="1" applyAlignment="1">
      <alignment horizontal="center" vertical="center"/>
    </xf>
    <xf numFmtId="2" fontId="24" fillId="7" borderId="52" xfId="0" applyNumberFormat="1" applyFont="1" applyFill="1" applyBorder="1" applyAlignment="1">
      <alignment horizontal="center" vertical="center"/>
    </xf>
    <xf numFmtId="2" fontId="24" fillId="7" borderId="36" xfId="0" applyNumberFormat="1" applyFont="1" applyFill="1" applyBorder="1" applyAlignment="1">
      <alignment horizontal="center" vertical="center"/>
    </xf>
    <xf numFmtId="2" fontId="24" fillId="7" borderId="36" xfId="0" applyNumberFormat="1" applyFont="1" applyFill="1" applyBorder="1" applyAlignment="1">
      <alignment horizontal="center"/>
    </xf>
    <xf numFmtId="2" fontId="24" fillId="7" borderId="0" xfId="0" applyNumberFormat="1" applyFont="1" applyFill="1" applyAlignment="1">
      <alignment horizontal="center"/>
    </xf>
    <xf numFmtId="0" fontId="42" fillId="7" borderId="70" xfId="0" applyFont="1" applyFill="1" applyBorder="1"/>
    <xf numFmtId="0" fontId="24" fillId="0" borderId="52" xfId="0" applyFont="1" applyBorder="1" applyAlignment="1">
      <alignment horizontal="center" vertical="center"/>
    </xf>
    <xf numFmtId="2" fontId="24" fillId="0" borderId="55" xfId="0" applyNumberFormat="1" applyFont="1" applyBorder="1" applyAlignment="1">
      <alignment horizontal="center" vertical="center"/>
    </xf>
    <xf numFmtId="0" fontId="24" fillId="7" borderId="0" xfId="0" applyFont="1" applyFill="1" applyAlignment="1">
      <alignment vertical="center"/>
    </xf>
    <xf numFmtId="2" fontId="24" fillId="7" borderId="0" xfId="0" applyNumberFormat="1" applyFont="1" applyFill="1" applyBorder="1" applyAlignment="1">
      <alignment horizontal="center" vertical="center"/>
    </xf>
    <xf numFmtId="2" fontId="42" fillId="7" borderId="0" xfId="0" applyNumberFormat="1" applyFont="1" applyFill="1" applyBorder="1" applyAlignment="1">
      <alignment horizontal="center" vertical="center"/>
    </xf>
    <xf numFmtId="0" fontId="24" fillId="7" borderId="0" xfId="0" applyFont="1" applyFill="1" applyBorder="1" applyAlignment="1">
      <alignment wrapText="1"/>
    </xf>
    <xf numFmtId="0" fontId="24" fillId="7" borderId="0" xfId="0" applyFont="1" applyFill="1" applyAlignment="1">
      <alignment wrapText="1"/>
    </xf>
    <xf numFmtId="2" fontId="41" fillId="7" borderId="0" xfId="0" applyNumberFormat="1" applyFont="1" applyFill="1" applyBorder="1" applyAlignment="1">
      <alignment horizontal="center" vertical="center"/>
    </xf>
    <xf numFmtId="0" fontId="11" fillId="4" borderId="25" xfId="0" applyFont="1" applyFill="1" applyBorder="1"/>
    <xf numFmtId="2" fontId="24" fillId="4" borderId="66" xfId="0" applyNumberFormat="1" applyFont="1" applyFill="1" applyBorder="1" applyAlignment="1">
      <alignment horizontal="center" vertical="center"/>
    </xf>
    <xf numFmtId="2" fontId="24" fillId="4" borderId="20" xfId="0" applyNumberFormat="1" applyFont="1" applyFill="1" applyBorder="1" applyAlignment="1">
      <alignment horizontal="center" vertical="center"/>
    </xf>
    <xf numFmtId="0" fontId="42" fillId="4" borderId="60" xfId="0" applyFont="1" applyFill="1" applyBorder="1" applyAlignment="1">
      <alignment vertical="center"/>
    </xf>
    <xf numFmtId="2" fontId="42" fillId="4" borderId="36" xfId="0" applyNumberFormat="1" applyFont="1" applyFill="1" applyBorder="1" applyAlignment="1">
      <alignment horizontal="center" vertical="center"/>
    </xf>
    <xf numFmtId="2" fontId="42" fillId="4" borderId="61" xfId="0" applyNumberFormat="1" applyFont="1" applyFill="1" applyBorder="1" applyAlignment="1">
      <alignment horizontal="center" vertical="center"/>
    </xf>
    <xf numFmtId="0" fontId="41" fillId="7" borderId="0" xfId="0" applyFont="1" applyFill="1" applyBorder="1" applyAlignment="1">
      <alignment horizontal="center" vertical="center"/>
    </xf>
    <xf numFmtId="0" fontId="42" fillId="7" borderId="56" xfId="0" applyFont="1" applyFill="1" applyBorder="1"/>
    <xf numFmtId="2" fontId="42" fillId="7" borderId="56" xfId="0" applyNumberFormat="1" applyFont="1" applyFill="1" applyBorder="1" applyAlignment="1">
      <alignment horizontal="center" vertical="center"/>
    </xf>
    <xf numFmtId="0" fontId="42" fillId="4" borderId="25" xfId="0" applyFont="1" applyFill="1" applyBorder="1" applyAlignment="1">
      <alignment horizontal="center" vertical="center"/>
    </xf>
    <xf numFmtId="2" fontId="42" fillId="4" borderId="25" xfId="0" applyNumberFormat="1" applyFont="1" applyFill="1" applyBorder="1" applyAlignment="1">
      <alignment horizontal="center" vertical="center"/>
    </xf>
    <xf numFmtId="0" fontId="24" fillId="0" borderId="65" xfId="0" applyFont="1" applyFill="1" applyBorder="1" applyAlignment="1">
      <alignment vertical="center"/>
    </xf>
    <xf numFmtId="0" fontId="24" fillId="0" borderId="57" xfId="0" applyFont="1" applyFill="1" applyBorder="1" applyAlignment="1">
      <alignment vertical="center"/>
    </xf>
    <xf numFmtId="0" fontId="42" fillId="4" borderId="25" xfId="0" applyFont="1" applyFill="1" applyBorder="1" applyAlignment="1">
      <alignment horizontal="center" vertical="center" wrapText="1"/>
    </xf>
    <xf numFmtId="0" fontId="42" fillId="4" borderId="61" xfId="0" applyFont="1" applyFill="1" applyBorder="1"/>
    <xf numFmtId="2" fontId="24" fillId="4" borderId="63" xfId="0" applyNumberFormat="1" applyFont="1" applyFill="1" applyBorder="1"/>
    <xf numFmtId="0" fontId="42" fillId="7" borderId="0" xfId="0" applyFont="1" applyFill="1" applyBorder="1" applyAlignment="1">
      <alignment horizontal="center" vertical="center" wrapText="1"/>
    </xf>
    <xf numFmtId="0" fontId="42" fillId="7" borderId="0" xfId="0" applyFont="1" applyFill="1" applyBorder="1"/>
    <xf numFmtId="2" fontId="24" fillId="7" borderId="0" xfId="0" applyNumberFormat="1" applyFont="1" applyFill="1" applyBorder="1"/>
    <xf numFmtId="0" fontId="42" fillId="0" borderId="1" xfId="0" applyFont="1" applyFill="1" applyBorder="1"/>
    <xf numFmtId="2" fontId="24" fillId="7" borderId="0" xfId="0" applyNumberFormat="1" applyFont="1" applyFill="1" applyBorder="1" applyAlignment="1" applyProtection="1">
      <alignment horizontal="center" vertical="center"/>
    </xf>
    <xf numFmtId="0" fontId="42" fillId="4" borderId="73" xfId="0" applyFont="1" applyFill="1" applyBorder="1" applyAlignment="1">
      <alignment horizontal="center" vertical="center" wrapText="1"/>
    </xf>
    <xf numFmtId="0" fontId="24" fillId="0" borderId="0" xfId="0" applyFont="1" applyProtection="1">
      <protection locked="0"/>
    </xf>
    <xf numFmtId="0" fontId="24" fillId="0" borderId="0" xfId="0" applyFont="1" applyFill="1" applyBorder="1" applyProtection="1">
      <protection locked="0"/>
    </xf>
    <xf numFmtId="0" fontId="24" fillId="0" borderId="0" xfId="0" applyFont="1" applyFill="1" applyBorder="1" applyAlignment="1" applyProtection="1">
      <alignment horizontal="center" vertical="center"/>
      <protection locked="0"/>
    </xf>
    <xf numFmtId="0" fontId="24" fillId="0" borderId="0" xfId="0" applyFont="1" applyBorder="1" applyProtection="1">
      <protection locked="0"/>
    </xf>
    <xf numFmtId="2" fontId="24" fillId="0" borderId="0" xfId="0" applyNumberFormat="1" applyFont="1" applyBorder="1" applyProtection="1">
      <protection locked="0"/>
    </xf>
    <xf numFmtId="0" fontId="41" fillId="9" borderId="25" xfId="0" applyFont="1" applyFill="1" applyBorder="1" applyAlignment="1">
      <alignment vertical="center" wrapText="1"/>
    </xf>
    <xf numFmtId="2" fontId="43" fillId="9" borderId="73" xfId="0" applyNumberFormat="1" applyFont="1" applyFill="1" applyBorder="1" applyAlignment="1">
      <alignment horizontal="center" vertical="center"/>
    </xf>
    <xf numFmtId="2" fontId="42" fillId="4" borderId="72" xfId="0" applyNumberFormat="1" applyFont="1" applyFill="1" applyBorder="1" applyAlignment="1">
      <alignment horizontal="center" vertical="center"/>
    </xf>
    <xf numFmtId="0" fontId="24" fillId="0" borderId="0" xfId="0" applyFont="1" applyFill="1" applyProtection="1">
      <protection locked="0"/>
    </xf>
    <xf numFmtId="0" fontId="42" fillId="4" borderId="51" xfId="0" applyFont="1" applyFill="1" applyBorder="1" applyAlignment="1">
      <alignment vertical="center"/>
    </xf>
    <xf numFmtId="0" fontId="24" fillId="0" borderId="71" xfId="0" applyFont="1" applyFill="1" applyBorder="1" applyAlignment="1">
      <alignment horizontal="left" vertical="center"/>
    </xf>
    <xf numFmtId="2" fontId="24" fillId="0" borderId="54" xfId="0" applyNumberFormat="1" applyFont="1" applyFill="1" applyBorder="1" applyAlignment="1">
      <alignment horizontal="center" vertical="center"/>
    </xf>
    <xf numFmtId="0" fontId="24" fillId="0" borderId="51" xfId="0" applyFont="1" applyFill="1" applyBorder="1" applyAlignment="1">
      <alignment horizontal="left" vertical="center"/>
    </xf>
    <xf numFmtId="2" fontId="24" fillId="0" borderId="25" xfId="0" applyNumberFormat="1" applyFont="1" applyFill="1" applyBorder="1" applyAlignment="1">
      <alignment horizontal="center" vertical="center"/>
    </xf>
    <xf numFmtId="2" fontId="42" fillId="4" borderId="25" xfId="0" applyNumberFormat="1" applyFont="1" applyFill="1" applyBorder="1" applyAlignment="1">
      <alignment horizontal="center" vertical="center" wrapText="1"/>
    </xf>
    <xf numFmtId="2" fontId="24" fillId="4" borderId="25" xfId="0" applyNumberFormat="1" applyFont="1" applyFill="1" applyBorder="1" applyProtection="1">
      <protection locked="0"/>
    </xf>
    <xf numFmtId="2" fontId="24" fillId="0" borderId="0" xfId="0" applyNumberFormat="1" applyFont="1" applyFill="1" applyBorder="1" applyProtection="1">
      <protection locked="0"/>
    </xf>
    <xf numFmtId="0" fontId="42" fillId="7" borderId="0" xfId="0" applyFont="1" applyFill="1" applyAlignment="1">
      <alignment horizontal="center"/>
    </xf>
    <xf numFmtId="2" fontId="42" fillId="7" borderId="0" xfId="0" applyNumberFormat="1" applyFont="1" applyFill="1" applyAlignment="1">
      <alignment horizontal="center" vertical="center"/>
    </xf>
    <xf numFmtId="0" fontId="42" fillId="7" borderId="0" xfId="0" applyFont="1" applyFill="1" applyBorder="1" applyAlignment="1">
      <alignment horizontal="center"/>
    </xf>
    <xf numFmtId="3" fontId="42" fillId="4" borderId="1" xfId="0" applyNumberFormat="1" applyFont="1" applyFill="1" applyBorder="1" applyAlignment="1">
      <alignment horizontal="center"/>
    </xf>
    <xf numFmtId="0" fontId="42" fillId="4" borderId="1" xfId="0" applyFont="1" applyFill="1" applyBorder="1" applyAlignment="1"/>
    <xf numFmtId="0" fontId="45" fillId="0" borderId="0" xfId="0" applyFont="1" applyAlignment="1">
      <alignment horizontal="left" vertical="center" indent="7"/>
    </xf>
    <xf numFmtId="0" fontId="24" fillId="4" borderId="1" xfId="0" applyFont="1" applyFill="1" applyBorder="1" applyAlignment="1">
      <alignment horizontal="center" vertical="center" wrapText="1"/>
    </xf>
    <xf numFmtId="0" fontId="43" fillId="7" borderId="0" xfId="0" applyFont="1" applyFill="1" applyBorder="1" applyAlignment="1">
      <alignment horizontal="center" vertical="center" wrapText="1"/>
    </xf>
    <xf numFmtId="2" fontId="8" fillId="0" borderId="57" xfId="0" applyNumberFormat="1" applyFont="1" applyFill="1" applyBorder="1" applyProtection="1">
      <protection locked="0"/>
    </xf>
    <xf numFmtId="4" fontId="42" fillId="4" borderId="1" xfId="0" applyNumberFormat="1" applyFont="1" applyFill="1" applyBorder="1" applyAlignment="1">
      <alignment horizontal="center" vertical="center" wrapText="1"/>
    </xf>
    <xf numFmtId="4" fontId="42" fillId="4" borderId="62" xfId="0" applyNumberFormat="1" applyFont="1" applyFill="1" applyBorder="1" applyAlignment="1">
      <alignment horizontal="center" vertical="center"/>
    </xf>
    <xf numFmtId="4" fontId="42" fillId="4" borderId="25" xfId="0" applyNumberFormat="1" applyFont="1" applyFill="1" applyBorder="1" applyAlignment="1">
      <alignment horizontal="center" vertical="center"/>
    </xf>
    <xf numFmtId="4" fontId="41" fillId="9" borderId="53" xfId="0" applyNumberFormat="1" applyFont="1" applyFill="1" applyBorder="1" applyAlignment="1">
      <alignment horizontal="center" vertical="center"/>
    </xf>
    <xf numFmtId="0" fontId="24" fillId="0" borderId="49" xfId="0" applyFont="1" applyBorder="1" applyAlignment="1">
      <alignment horizontal="center" vertical="center"/>
    </xf>
    <xf numFmtId="2" fontId="42" fillId="4" borderId="60" xfId="0" applyNumberFormat="1" applyFont="1" applyFill="1" applyBorder="1" applyAlignment="1">
      <alignment horizontal="center" vertical="center"/>
    </xf>
    <xf numFmtId="0" fontId="24" fillId="0" borderId="55" xfId="0" applyFont="1" applyFill="1" applyBorder="1" applyAlignment="1">
      <alignment vertical="center"/>
    </xf>
    <xf numFmtId="2" fontId="24" fillId="0" borderId="1" xfId="0" applyNumberFormat="1" applyFont="1" applyFill="1" applyBorder="1" applyAlignment="1" applyProtection="1">
      <alignment horizontal="center" vertical="center"/>
    </xf>
    <xf numFmtId="10" fontId="4" fillId="0" borderId="0" xfId="2" applyNumberFormat="1" applyFont="1" applyFill="1" applyBorder="1" applyAlignment="1" applyProtection="1">
      <alignment vertical="center"/>
    </xf>
    <xf numFmtId="0" fontId="9" fillId="0" borderId="0" xfId="0" applyFont="1" applyAlignment="1">
      <alignment vertical="center"/>
    </xf>
    <xf numFmtId="2" fontId="4" fillId="0" borderId="0" xfId="0" applyNumberFormat="1" applyFont="1" applyFill="1" applyBorder="1" applyAlignment="1">
      <alignment vertical="center"/>
    </xf>
    <xf numFmtId="2" fontId="4" fillId="0" borderId="0" xfId="0" applyNumberFormat="1" applyFont="1" applyFill="1" applyBorder="1" applyAlignment="1" applyProtection="1">
      <alignment vertical="center"/>
    </xf>
    <xf numFmtId="49" fontId="4" fillId="0" borderId="0" xfId="0" applyNumberFormat="1" applyFont="1" applyBorder="1" applyAlignment="1">
      <alignment horizontal="right" vertical="center"/>
    </xf>
    <xf numFmtId="2" fontId="4" fillId="0" borderId="0" xfId="0" applyNumberFormat="1" applyFont="1" applyAlignment="1">
      <alignment horizontal="left" vertical="center"/>
    </xf>
    <xf numFmtId="0" fontId="42" fillId="4" borderId="25" xfId="0" applyFont="1" applyFill="1" applyBorder="1"/>
    <xf numFmtId="0" fontId="24" fillId="0" borderId="55" xfId="0" applyFont="1" applyFill="1" applyBorder="1"/>
    <xf numFmtId="0" fontId="24" fillId="0" borderId="59" xfId="0" applyFont="1" applyFill="1" applyBorder="1"/>
    <xf numFmtId="0" fontId="42" fillId="4" borderId="66" xfId="0" applyFont="1" applyFill="1" applyBorder="1"/>
    <xf numFmtId="0" fontId="42" fillId="4" borderId="25" xfId="0" applyFont="1" applyFill="1" applyBorder="1" applyAlignment="1">
      <alignment vertical="center"/>
    </xf>
    <xf numFmtId="0" fontId="9" fillId="0" borderId="5" xfId="0" applyFont="1" applyFill="1" applyBorder="1"/>
    <xf numFmtId="0" fontId="23" fillId="0" borderId="0" xfId="0" applyFont="1" applyFill="1" applyBorder="1"/>
    <xf numFmtId="0" fontId="4" fillId="0" borderId="4" xfId="0" applyFont="1" applyBorder="1"/>
    <xf numFmtId="0" fontId="9" fillId="0" borderId="6" xfId="0" applyFont="1" applyFill="1" applyBorder="1"/>
    <xf numFmtId="4" fontId="24" fillId="0" borderId="0" xfId="0" applyNumberFormat="1" applyFont="1"/>
    <xf numFmtId="0" fontId="24" fillId="0" borderId="0" xfId="0" applyFont="1" applyAlignment="1">
      <alignment horizontal="center"/>
    </xf>
    <xf numFmtId="2" fontId="9" fillId="0" borderId="3" xfId="0" applyNumberFormat="1" applyFont="1" applyFill="1" applyBorder="1" applyAlignment="1" applyProtection="1">
      <alignment horizontal="center"/>
    </xf>
    <xf numFmtId="0" fontId="4" fillId="0" borderId="46" xfId="0" applyFont="1" applyBorder="1"/>
    <xf numFmtId="0" fontId="8" fillId="0" borderId="9" xfId="0" applyNumberFormat="1" applyFont="1" applyBorder="1"/>
    <xf numFmtId="49" fontId="8" fillId="0" borderId="15" xfId="0" quotePrefix="1" applyNumberFormat="1" applyFont="1" applyBorder="1" applyAlignment="1"/>
    <xf numFmtId="49" fontId="8" fillId="0" borderId="11" xfId="0" applyNumberFormat="1" applyFont="1" applyBorder="1" applyAlignment="1">
      <alignment horizontal="center"/>
    </xf>
    <xf numFmtId="0" fontId="3" fillId="0" borderId="0" xfId="0" applyFont="1"/>
    <xf numFmtId="0" fontId="23" fillId="0" borderId="0" xfId="4" applyFont="1" applyAlignment="1" applyProtection="1">
      <alignment vertical="center"/>
    </xf>
    <xf numFmtId="0" fontId="3" fillId="0" borderId="2" xfId="0" applyFont="1" applyBorder="1" applyAlignment="1">
      <alignment vertical="center"/>
    </xf>
    <xf numFmtId="0" fontId="4" fillId="0" borderId="46" xfId="0" applyFont="1" applyBorder="1" applyAlignment="1">
      <alignment vertical="center"/>
    </xf>
    <xf numFmtId="0" fontId="23" fillId="0" borderId="1" xfId="0" applyFont="1" applyFill="1" applyBorder="1" applyAlignment="1">
      <alignment vertical="center"/>
    </xf>
    <xf numFmtId="2" fontId="24" fillId="6" borderId="1" xfId="0" applyNumberFormat="1" applyFont="1" applyFill="1" applyBorder="1" applyAlignment="1" applyProtection="1">
      <alignment horizontal="center" vertical="center"/>
      <protection locked="0"/>
    </xf>
    <xf numFmtId="2" fontId="24" fillId="6" borderId="11" xfId="0" applyNumberFormat="1" applyFont="1" applyFill="1" applyBorder="1" applyAlignment="1" applyProtection="1">
      <alignment horizontal="center" vertical="center"/>
      <protection locked="0"/>
    </xf>
    <xf numFmtId="2" fontId="24" fillId="6" borderId="46" xfId="0" applyNumberFormat="1" applyFont="1" applyFill="1" applyBorder="1" applyAlignment="1" applyProtection="1">
      <alignment horizontal="center" vertical="center"/>
      <protection locked="0"/>
    </xf>
    <xf numFmtId="2" fontId="24" fillId="6" borderId="15" xfId="0" applyNumberFormat="1" applyFont="1" applyFill="1" applyBorder="1" applyAlignment="1" applyProtection="1">
      <alignment horizontal="center" vertical="center"/>
      <protection locked="0"/>
    </xf>
    <xf numFmtId="2" fontId="24" fillId="6" borderId="69" xfId="0" applyNumberFormat="1" applyFont="1" applyFill="1" applyBorder="1" applyAlignment="1" applyProtection="1">
      <alignment horizontal="center" vertical="center"/>
      <protection locked="0"/>
    </xf>
    <xf numFmtId="0" fontId="24" fillId="6" borderId="80" xfId="0" applyFont="1" applyFill="1" applyBorder="1" applyAlignment="1" applyProtection="1">
      <alignment vertical="center"/>
      <protection locked="0"/>
    </xf>
    <xf numFmtId="2" fontId="24" fillId="6" borderId="76" xfId="0" applyNumberFormat="1" applyFont="1" applyFill="1" applyBorder="1" applyAlignment="1" applyProtection="1">
      <alignment horizontal="center" vertical="center"/>
      <protection locked="0"/>
    </xf>
    <xf numFmtId="2" fontId="24" fillId="6" borderId="75" xfId="0" applyNumberFormat="1" applyFont="1" applyFill="1" applyBorder="1" applyAlignment="1" applyProtection="1">
      <alignment horizontal="center" vertical="center"/>
      <protection locked="0"/>
    </xf>
    <xf numFmtId="2" fontId="24" fillId="6" borderId="77" xfId="0" applyNumberFormat="1" applyFont="1" applyFill="1" applyBorder="1" applyAlignment="1" applyProtection="1">
      <alignment horizontal="center" vertical="center"/>
      <protection locked="0"/>
    </xf>
    <xf numFmtId="0" fontId="24" fillId="6" borderId="64" xfId="0" applyFont="1" applyFill="1" applyBorder="1" applyAlignment="1" applyProtection="1">
      <alignment horizontal="center"/>
      <protection locked="0"/>
    </xf>
    <xf numFmtId="0" fontId="24" fillId="6" borderId="58" xfId="0" applyFont="1" applyFill="1" applyBorder="1" applyAlignment="1" applyProtection="1">
      <alignment horizontal="center"/>
      <protection locked="0"/>
    </xf>
    <xf numFmtId="0" fontId="24" fillId="6" borderId="78" xfId="0" applyFont="1" applyFill="1" applyBorder="1" applyAlignment="1" applyProtection="1">
      <alignment horizontal="center"/>
      <protection locked="0"/>
    </xf>
    <xf numFmtId="0" fontId="24" fillId="6" borderId="70" xfId="0" applyFont="1" applyFill="1" applyBorder="1" applyAlignment="1" applyProtection="1">
      <alignment horizontal="center"/>
      <protection locked="0"/>
    </xf>
    <xf numFmtId="0" fontId="24" fillId="6" borderId="79" xfId="0" applyFont="1" applyFill="1" applyBorder="1" applyAlignment="1" applyProtection="1">
      <alignment horizontal="center"/>
      <protection locked="0"/>
    </xf>
    <xf numFmtId="0" fontId="24" fillId="6" borderId="68" xfId="0" applyFont="1" applyFill="1" applyBorder="1" applyAlignment="1" applyProtection="1">
      <alignment vertical="center"/>
      <protection locked="0"/>
    </xf>
    <xf numFmtId="0" fontId="24" fillId="0" borderId="0" xfId="0" applyFont="1" applyBorder="1" applyAlignment="1">
      <alignment vertical="center" wrapText="1"/>
    </xf>
    <xf numFmtId="164" fontId="4" fillId="0" borderId="0" xfId="0" applyNumberFormat="1" applyFont="1" applyFill="1" applyBorder="1" applyAlignment="1" applyProtection="1">
      <alignment horizontal="right" vertical="center"/>
    </xf>
    <xf numFmtId="0" fontId="8" fillId="6" borderId="84" xfId="0" applyFont="1" applyFill="1" applyBorder="1" applyAlignment="1" applyProtection="1">
      <alignment horizontal="left"/>
      <protection locked="0"/>
    </xf>
    <xf numFmtId="0" fontId="7" fillId="0" borderId="0" xfId="0" applyFont="1" applyFill="1"/>
    <xf numFmtId="173" fontId="4" fillId="0" borderId="1" xfId="0" applyNumberFormat="1" applyFont="1" applyFill="1" applyBorder="1" applyAlignment="1">
      <alignment vertical="center"/>
    </xf>
    <xf numFmtId="173" fontId="4" fillId="6" borderId="1" xfId="0" applyNumberFormat="1" applyFont="1" applyFill="1" applyBorder="1" applyAlignment="1" applyProtection="1">
      <alignment vertical="center"/>
      <protection locked="0"/>
    </xf>
    <xf numFmtId="10" fontId="24" fillId="0" borderId="0" xfId="2" applyNumberFormat="1" applyFont="1" applyFill="1" applyBorder="1" applyProtection="1">
      <protection locked="0"/>
    </xf>
    <xf numFmtId="0" fontId="49" fillId="0" borderId="20" xfId="0" applyFont="1" applyBorder="1"/>
    <xf numFmtId="2" fontId="12" fillId="0" borderId="15" xfId="0" applyNumberFormat="1" applyFont="1" applyFill="1" applyBorder="1" applyAlignment="1">
      <alignment horizontal="center" vertical="center" wrapText="1"/>
    </xf>
    <xf numFmtId="2" fontId="4" fillId="6" borderId="6" xfId="0" applyNumberFormat="1" applyFont="1" applyFill="1" applyBorder="1" applyAlignment="1" applyProtection="1">
      <alignment horizontal="center" vertical="center"/>
      <protection locked="0"/>
    </xf>
    <xf numFmtId="2" fontId="3" fillId="0" borderId="11" xfId="0" applyNumberFormat="1" applyFont="1" applyBorder="1" applyAlignment="1">
      <alignment horizontal="center" vertical="center"/>
    </xf>
    <xf numFmtId="8" fontId="5" fillId="0" borderId="1" xfId="0" applyNumberFormat="1" applyFont="1" applyBorder="1" applyAlignment="1">
      <alignment horizontal="center" vertical="center" wrapText="1"/>
    </xf>
    <xf numFmtId="49" fontId="8" fillId="0" borderId="10" xfId="0" quotePrefix="1" applyNumberFormat="1" applyFont="1" applyBorder="1" applyAlignment="1">
      <alignment horizontal="left" vertical="center"/>
    </xf>
    <xf numFmtId="49" fontId="8" fillId="0" borderId="2" xfId="0" quotePrefix="1" applyNumberFormat="1" applyFont="1" applyBorder="1" applyAlignment="1">
      <alignment vertical="center"/>
    </xf>
    <xf numFmtId="0" fontId="51" fillId="0" borderId="0" xfId="0" applyFont="1" applyAlignment="1">
      <alignment vertical="center"/>
    </xf>
    <xf numFmtId="2" fontId="4" fillId="6" borderId="1" xfId="0" applyNumberFormat="1" applyFont="1" applyFill="1" applyBorder="1" applyAlignment="1" applyProtection="1">
      <alignment vertical="center"/>
      <protection locked="0"/>
    </xf>
    <xf numFmtId="2" fontId="24" fillId="6" borderId="82" xfId="0" applyNumberFormat="1" applyFont="1" applyFill="1" applyBorder="1" applyAlignment="1" applyProtection="1">
      <alignment horizontal="center" vertical="center"/>
      <protection locked="0"/>
    </xf>
    <xf numFmtId="2" fontId="24" fillId="0" borderId="85" xfId="0" applyNumberFormat="1" applyFont="1" applyBorder="1" applyAlignment="1">
      <alignment horizontal="center" vertical="center"/>
    </xf>
    <xf numFmtId="0" fontId="11" fillId="0" borderId="9" xfId="0" applyFont="1" applyBorder="1"/>
    <xf numFmtId="10" fontId="3" fillId="6" borderId="1" xfId="2" applyNumberFormat="1" applyFont="1" applyFill="1" applyBorder="1" applyAlignment="1" applyProtection="1">
      <alignment vertical="center"/>
      <protection locked="0"/>
    </xf>
    <xf numFmtId="0" fontId="8" fillId="6" borderId="10" xfId="0" applyFont="1" applyFill="1" applyBorder="1" applyAlignment="1" applyProtection="1">
      <alignment horizontal="left"/>
      <protection locked="0"/>
    </xf>
    <xf numFmtId="0" fontId="8" fillId="6" borderId="0" xfId="0" applyFont="1" applyFill="1" applyBorder="1" applyAlignment="1" applyProtection="1">
      <alignment horizontal="left"/>
      <protection locked="0"/>
    </xf>
    <xf numFmtId="0" fontId="8" fillId="6" borderId="9" xfId="0" applyFont="1" applyFill="1" applyBorder="1" applyAlignment="1" applyProtection="1">
      <alignment horizontal="left"/>
      <protection locked="0"/>
    </xf>
    <xf numFmtId="0" fontId="40" fillId="6" borderId="10" xfId="6" applyFill="1" applyBorder="1" applyAlignment="1" applyProtection="1">
      <alignment horizontal="left"/>
      <protection locked="0"/>
    </xf>
    <xf numFmtId="2" fontId="8" fillId="6" borderId="11" xfId="0" quotePrefix="1" applyNumberFormat="1" applyFont="1" applyFill="1" applyBorder="1" applyAlignment="1" applyProtection="1">
      <alignment horizontal="center"/>
      <protection locked="0"/>
    </xf>
    <xf numFmtId="2" fontId="8" fillId="6" borderId="8" xfId="0" quotePrefix="1" applyNumberFormat="1" applyFont="1" applyFill="1" applyBorder="1" applyAlignment="1" applyProtection="1">
      <alignment horizontal="center"/>
      <protection locked="0"/>
    </xf>
    <xf numFmtId="0" fontId="8" fillId="6" borderId="11" xfId="0" applyFont="1" applyFill="1" applyBorder="1" applyAlignment="1" applyProtection="1">
      <alignment horizontal="left"/>
      <protection locked="0"/>
    </xf>
    <xf numFmtId="0" fontId="8" fillId="6" borderId="8" xfId="0" applyFont="1" applyFill="1" applyBorder="1" applyAlignment="1" applyProtection="1">
      <alignment horizontal="left"/>
      <protection locked="0"/>
    </xf>
    <xf numFmtId="2" fontId="8" fillId="0" borderId="11" xfId="2" applyNumberFormat="1" applyFont="1" applyFill="1" applyBorder="1" applyAlignment="1" applyProtection="1">
      <alignment horizontal="center"/>
    </xf>
    <xf numFmtId="2" fontId="8" fillId="0" borderId="8" xfId="2" applyNumberFormat="1" applyFont="1" applyFill="1" applyBorder="1" applyAlignment="1" applyProtection="1">
      <alignment horizontal="center"/>
    </xf>
    <xf numFmtId="0" fontId="8" fillId="0" borderId="15" xfId="0" quotePrefix="1" applyFont="1" applyBorder="1" applyAlignment="1">
      <alignment horizontal="left"/>
    </xf>
    <xf numFmtId="0" fontId="8" fillId="0" borderId="16" xfId="0" quotePrefix="1" applyFont="1" applyBorder="1" applyAlignment="1">
      <alignment horizontal="left"/>
    </xf>
    <xf numFmtId="0" fontId="11" fillId="0" borderId="11" xfId="0" applyFont="1" applyBorder="1" applyAlignment="1">
      <alignment horizontal="left"/>
    </xf>
    <xf numFmtId="0" fontId="10" fillId="0" borderId="14" xfId="0" applyNumberFormat="1" applyFont="1" applyBorder="1" applyAlignment="1">
      <alignment horizontal="center" vertical="center"/>
    </xf>
    <xf numFmtId="0" fontId="10" fillId="0" borderId="15" xfId="0" applyNumberFormat="1" applyFont="1" applyBorder="1" applyAlignment="1">
      <alignment horizontal="center" vertical="center"/>
    </xf>
    <xf numFmtId="0" fontId="10" fillId="0" borderId="16" xfId="0" applyNumberFormat="1" applyFont="1" applyBorder="1" applyAlignment="1">
      <alignment horizontal="center" vertical="center"/>
    </xf>
    <xf numFmtId="0" fontId="11" fillId="0" borderId="7"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8" xfId="0" applyNumberFormat="1" applyFont="1" applyBorder="1" applyAlignment="1">
      <alignment horizontal="center" vertical="center"/>
    </xf>
    <xf numFmtId="4" fontId="8" fillId="0" borderId="1" xfId="0" applyNumberFormat="1" applyFont="1" applyBorder="1" applyAlignment="1">
      <alignment horizontal="right" vertical="center"/>
    </xf>
    <xf numFmtId="49" fontId="8" fillId="0" borderId="14" xfId="0" applyNumberFormat="1" applyFont="1" applyBorder="1" applyAlignment="1">
      <alignment horizontal="left" vertical="center"/>
    </xf>
    <xf numFmtId="49" fontId="8" fillId="0" borderId="7" xfId="0" applyNumberFormat="1" applyFont="1" applyBorder="1" applyAlignment="1">
      <alignment horizontal="left" vertical="center"/>
    </xf>
    <xf numFmtId="4" fontId="8" fillId="0" borderId="4" xfId="0" applyNumberFormat="1" applyFont="1" applyBorder="1" applyAlignment="1">
      <alignment horizontal="right" vertical="center"/>
    </xf>
    <xf numFmtId="4" fontId="8" fillId="0" borderId="6" xfId="0" applyNumberFormat="1" applyFont="1" applyBorder="1" applyAlignment="1">
      <alignment horizontal="right" vertical="center"/>
    </xf>
    <xf numFmtId="0" fontId="8" fillId="6" borderId="14" xfId="0" applyFont="1" applyFill="1" applyBorder="1" applyAlignment="1" applyProtection="1">
      <alignment horizontal="left"/>
      <protection locked="0"/>
    </xf>
    <xf numFmtId="0" fontId="8" fillId="6" borderId="15" xfId="0" applyFont="1" applyFill="1" applyBorder="1" applyAlignment="1" applyProtection="1">
      <alignment horizontal="left"/>
      <protection locked="0"/>
    </xf>
    <xf numFmtId="0" fontId="8" fillId="6" borderId="16" xfId="0" applyFont="1" applyFill="1" applyBorder="1" applyAlignment="1" applyProtection="1">
      <alignment horizontal="left"/>
      <protection locked="0"/>
    </xf>
    <xf numFmtId="0" fontId="8" fillId="6" borderId="11" xfId="0" quotePrefix="1" applyFont="1" applyFill="1" applyBorder="1" applyAlignment="1" applyProtection="1">
      <alignment horizontal="left"/>
      <protection locked="0"/>
    </xf>
    <xf numFmtId="0" fontId="8" fillId="6" borderId="8" xfId="0" quotePrefix="1" applyFont="1" applyFill="1" applyBorder="1" applyAlignment="1" applyProtection="1">
      <alignment horizontal="left"/>
      <protection locked="0"/>
    </xf>
    <xf numFmtId="14" fontId="8" fillId="6" borderId="11" xfId="0" applyNumberFormat="1" applyFont="1" applyFill="1" applyBorder="1" applyAlignment="1" applyProtection="1">
      <alignment horizontal="left" vertical="center" wrapText="1"/>
      <protection locked="0"/>
    </xf>
    <xf numFmtId="0" fontId="8" fillId="6" borderId="11" xfId="0" applyFont="1" applyFill="1" applyBorder="1" applyAlignment="1" applyProtection="1">
      <alignment horizontal="left" vertical="center" wrapText="1"/>
      <protection locked="0"/>
    </xf>
    <xf numFmtId="0" fontId="8" fillId="6" borderId="8" xfId="0" applyFont="1" applyFill="1" applyBorder="1" applyAlignment="1" applyProtection="1">
      <alignment horizontal="left" vertical="center" wrapText="1"/>
      <protection locked="0"/>
    </xf>
    <xf numFmtId="2" fontId="8" fillId="0" borderId="4" xfId="0" applyNumberFormat="1" applyFont="1" applyBorder="1" applyAlignment="1">
      <alignment horizontal="right" vertical="center"/>
    </xf>
    <xf numFmtId="2" fontId="8" fillId="0" borderId="6" xfId="0" applyNumberFormat="1" applyFont="1" applyBorder="1" applyAlignment="1">
      <alignment horizontal="right" vertical="center"/>
    </xf>
    <xf numFmtId="4" fontId="8" fillId="0" borderId="11" xfId="0" applyNumberFormat="1" applyFont="1" applyFill="1" applyBorder="1" applyAlignment="1" applyProtection="1">
      <alignment horizontal="center"/>
    </xf>
    <xf numFmtId="0" fontId="8" fillId="0" borderId="8" xfId="0" applyFont="1" applyFill="1" applyBorder="1" applyAlignment="1" applyProtection="1">
      <alignment horizontal="center"/>
    </xf>
    <xf numFmtId="9" fontId="8" fillId="6" borderId="11" xfId="0" applyNumberFormat="1" applyFont="1" applyFill="1" applyBorder="1" applyAlignment="1" applyProtection="1">
      <alignment horizontal="center"/>
      <protection locked="0"/>
    </xf>
    <xf numFmtId="0" fontId="8" fillId="6" borderId="8" xfId="0" applyFont="1" applyFill="1" applyBorder="1" applyAlignment="1" applyProtection="1">
      <alignment horizontal="center"/>
      <protection locked="0"/>
    </xf>
    <xf numFmtId="0" fontId="52" fillId="6" borderId="10" xfId="6" applyFont="1" applyFill="1" applyBorder="1" applyAlignment="1" applyProtection="1">
      <alignment horizontal="left"/>
      <protection locked="0"/>
    </xf>
    <xf numFmtId="0" fontId="8" fillId="6" borderId="83" xfId="0" applyFont="1" applyFill="1" applyBorder="1" applyAlignment="1" applyProtection="1">
      <alignment horizontal="left"/>
      <protection locked="0"/>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left" vertical="center"/>
    </xf>
    <xf numFmtId="0" fontId="8" fillId="0" borderId="8" xfId="0" applyFont="1" applyBorder="1" applyAlignment="1">
      <alignment horizontal="left" vertical="center"/>
    </xf>
    <xf numFmtId="0" fontId="8" fillId="0" borderId="1" xfId="0" applyFont="1" applyBorder="1" applyAlignment="1">
      <alignment horizontal="left" vertical="center" wrapText="1"/>
    </xf>
    <xf numFmtId="49" fontId="8" fillId="0" borderId="22" xfId="0" applyNumberFormat="1" applyFont="1" applyBorder="1" applyAlignment="1">
      <alignment horizontal="left" vertical="center"/>
    </xf>
    <xf numFmtId="4" fontId="8" fillId="6" borderId="4" xfId="0" applyNumberFormat="1" applyFont="1" applyFill="1" applyBorder="1" applyAlignment="1" applyProtection="1">
      <alignment horizontal="right" vertical="center"/>
      <protection locked="0"/>
    </xf>
    <xf numFmtId="4" fontId="8" fillId="6" borderId="21" xfId="0" applyNumberFormat="1" applyFont="1" applyFill="1" applyBorder="1" applyAlignment="1" applyProtection="1">
      <alignment horizontal="right" vertical="center"/>
      <protection locked="0"/>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49" fontId="11" fillId="4" borderId="10" xfId="0" applyNumberFormat="1" applyFont="1" applyFill="1" applyBorder="1" applyAlignment="1">
      <alignment horizontal="left" vertical="center"/>
    </xf>
    <xf numFmtId="49" fontId="11" fillId="4" borderId="7" xfId="0" applyNumberFormat="1" applyFont="1" applyFill="1" applyBorder="1" applyAlignment="1">
      <alignment horizontal="left" vertical="center"/>
    </xf>
    <xf numFmtId="0" fontId="11" fillId="4" borderId="10" xfId="0" applyFont="1" applyFill="1" applyBorder="1" applyAlignment="1">
      <alignment horizontal="left" vertical="center" wrapText="1"/>
    </xf>
    <xf numFmtId="0" fontId="11" fillId="4" borderId="0"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22"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24" xfId="0" applyFont="1" applyFill="1" applyBorder="1" applyAlignment="1">
      <alignment horizontal="left" vertical="center" wrapText="1"/>
    </xf>
    <xf numFmtId="4" fontId="11" fillId="4" borderId="19" xfId="0" applyNumberFormat="1" applyFont="1" applyFill="1" applyBorder="1" applyAlignment="1">
      <alignment horizontal="right" vertical="center"/>
    </xf>
    <xf numFmtId="4" fontId="11" fillId="4" borderId="21" xfId="0" applyNumberFormat="1" applyFont="1" applyFill="1" applyBorder="1" applyAlignment="1">
      <alignment horizontal="right" vertical="center"/>
    </xf>
    <xf numFmtId="2" fontId="11" fillId="4" borderId="19" xfId="0" applyNumberFormat="1" applyFont="1" applyFill="1" applyBorder="1" applyAlignment="1">
      <alignment horizontal="right" vertical="center"/>
    </xf>
    <xf numFmtId="2" fontId="11" fillId="4" borderId="21" xfId="0" applyNumberFormat="1" applyFont="1" applyFill="1" applyBorder="1" applyAlignment="1">
      <alignment horizontal="right" vertical="center"/>
    </xf>
    <xf numFmtId="4" fontId="8" fillId="6" borderId="6" xfId="0" applyNumberFormat="1" applyFont="1" applyFill="1" applyBorder="1" applyAlignment="1" applyProtection="1">
      <alignment horizontal="right" vertical="center"/>
      <protection locked="0"/>
    </xf>
    <xf numFmtId="2" fontId="8" fillId="0" borderId="21" xfId="0" applyNumberFormat="1" applyFont="1" applyBorder="1" applyAlignment="1">
      <alignment horizontal="right" vertical="center"/>
    </xf>
    <xf numFmtId="49" fontId="11" fillId="0" borderId="19" xfId="0" applyNumberFormat="1" applyFont="1" applyBorder="1" applyAlignment="1">
      <alignment horizontal="left" vertical="center"/>
    </xf>
    <xf numFmtId="49" fontId="11" fillId="0" borderId="21" xfId="0" applyNumberFormat="1" applyFont="1" applyBorder="1" applyAlignment="1">
      <alignment horizontal="left" vertical="center"/>
    </xf>
    <xf numFmtId="0" fontId="11" fillId="0" borderId="10" xfId="0" applyFont="1" applyBorder="1" applyAlignment="1">
      <alignment horizontal="left" vertical="center" wrapText="1"/>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4" fontId="11" fillId="0" borderId="19" xfId="0" applyNumberFormat="1" applyFont="1" applyBorder="1" applyAlignment="1">
      <alignment horizontal="right" vertical="center"/>
    </xf>
    <xf numFmtId="4" fontId="11" fillId="0" borderId="21" xfId="0" applyNumberFormat="1" applyFont="1" applyBorder="1" applyAlignment="1">
      <alignment horizontal="right" vertical="center"/>
    </xf>
    <xf numFmtId="2" fontId="8" fillId="0" borderId="19" xfId="0" applyNumberFormat="1" applyFont="1" applyBorder="1" applyAlignment="1">
      <alignment horizontal="right" vertical="center"/>
    </xf>
    <xf numFmtId="49" fontId="11" fillId="0" borderId="5" xfId="0" applyNumberFormat="1" applyFont="1" applyBorder="1" applyAlignment="1">
      <alignment horizontal="left" vertical="center"/>
    </xf>
    <xf numFmtId="0" fontId="11" fillId="0" borderId="26" xfId="0" applyFont="1" applyBorder="1" applyAlignment="1">
      <alignment horizontal="left" vertical="center" wrapText="1"/>
    </xf>
    <xf numFmtId="0" fontId="11" fillId="0" borderId="20" xfId="0" applyFont="1" applyBorder="1" applyAlignment="1">
      <alignment horizontal="left" vertical="center" wrapText="1"/>
    </xf>
    <xf numFmtId="0" fontId="11" fillId="0" borderId="27" xfId="0" applyFont="1" applyBorder="1" applyAlignment="1">
      <alignment horizontal="left" vertical="center" wrapText="1"/>
    </xf>
    <xf numFmtId="2" fontId="8" fillId="0" borderId="5" xfId="0" applyNumberFormat="1" applyFont="1" applyBorder="1" applyAlignment="1">
      <alignment horizontal="right" vertical="center"/>
    </xf>
    <xf numFmtId="49" fontId="11" fillId="4" borderId="5" xfId="0" applyNumberFormat="1" applyFont="1" applyFill="1" applyBorder="1" applyAlignment="1">
      <alignment horizontal="left" vertical="center"/>
    </xf>
    <xf numFmtId="49" fontId="11" fillId="4" borderId="21" xfId="0" applyNumberFormat="1" applyFont="1" applyFill="1" applyBorder="1" applyAlignment="1">
      <alignment horizontal="left" vertical="center"/>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7" xfId="0" applyFont="1" applyBorder="1" applyAlignment="1">
      <alignment horizontal="left" vertical="center" wrapText="1"/>
    </xf>
    <xf numFmtId="0" fontId="8" fillId="0" borderId="11" xfId="0" applyFont="1" applyBorder="1" applyAlignment="1">
      <alignment horizontal="left" vertical="center" wrapText="1"/>
    </xf>
    <xf numFmtId="0" fontId="8" fillId="0" borderId="8" xfId="0" applyFont="1" applyBorder="1" applyAlignment="1">
      <alignment horizontal="left" vertical="center" wrapText="1"/>
    </xf>
    <xf numFmtId="4" fontId="8" fillId="0" borderId="4"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4" fontId="11" fillId="4" borderId="5" xfId="0" applyNumberFormat="1" applyFont="1" applyFill="1" applyBorder="1" applyAlignment="1">
      <alignment horizontal="right" vertical="center"/>
    </xf>
    <xf numFmtId="2" fontId="11" fillId="4" borderId="5" xfId="0" applyNumberFormat="1" applyFont="1" applyFill="1" applyBorder="1" applyAlignment="1">
      <alignment horizontal="right" vertical="center"/>
    </xf>
    <xf numFmtId="49" fontId="11" fillId="4" borderId="4" xfId="0" applyNumberFormat="1" applyFont="1" applyFill="1" applyBorder="1" applyAlignment="1">
      <alignment horizontal="left" vertical="center"/>
    </xf>
    <xf numFmtId="0" fontId="11" fillId="4" borderId="14"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4" borderId="16" xfId="0" applyFont="1" applyFill="1" applyBorder="1" applyAlignment="1">
      <alignment horizontal="left" vertical="center" wrapText="1"/>
    </xf>
    <xf numFmtId="4" fontId="11" fillId="4" borderId="4" xfId="0" applyNumberFormat="1" applyFont="1" applyFill="1" applyBorder="1" applyAlignment="1">
      <alignment horizontal="right" vertical="center"/>
    </xf>
    <xf numFmtId="4" fontId="11" fillId="0" borderId="6" xfId="1" applyNumberFormat="1" applyFont="1" applyBorder="1" applyAlignment="1">
      <alignment horizontal="right" vertical="center"/>
    </xf>
    <xf numFmtId="4" fontId="11" fillId="0" borderId="47" xfId="1" applyNumberFormat="1" applyFont="1" applyBorder="1" applyAlignment="1">
      <alignment horizontal="right" vertical="center"/>
    </xf>
    <xf numFmtId="0" fontId="11" fillId="0" borderId="1" xfId="0" applyFont="1" applyBorder="1" applyAlignment="1">
      <alignment horizontal="left" vertical="center" wrapText="1"/>
    </xf>
    <xf numFmtId="166" fontId="9" fillId="6" borderId="1" xfId="2" applyNumberFormat="1" applyFont="1" applyFill="1" applyBorder="1" applyAlignment="1" applyProtection="1">
      <alignment horizontal="center" vertical="center" wrapText="1"/>
      <protection locked="0"/>
    </xf>
    <xf numFmtId="0" fontId="50" fillId="0" borderId="0" xfId="0" applyFont="1" applyAlignment="1">
      <alignment horizontal="left" vertical="top" wrapText="1"/>
    </xf>
    <xf numFmtId="0" fontId="37" fillId="0" borderId="0" xfId="0" applyFont="1" applyFill="1" applyBorder="1" applyAlignment="1">
      <alignment horizontal="left" vertical="center" wrapText="1"/>
    </xf>
    <xf numFmtId="2" fontId="11" fillId="0" borderId="0" xfId="0" applyNumberFormat="1" applyFont="1" applyFill="1" applyBorder="1" applyAlignment="1" applyProtection="1">
      <alignment horizontal="right" vertical="center"/>
      <protection locked="0"/>
    </xf>
    <xf numFmtId="4" fontId="11" fillId="0" borderId="5" xfId="0" applyNumberFormat="1" applyFont="1" applyBorder="1" applyAlignment="1">
      <alignment horizontal="right" vertical="center"/>
    </xf>
    <xf numFmtId="49" fontId="8" fillId="0" borderId="4" xfId="0" applyNumberFormat="1" applyFont="1" applyBorder="1" applyAlignment="1">
      <alignment horizontal="left" vertical="center"/>
    </xf>
    <xf numFmtId="49" fontId="8" fillId="0" borderId="21" xfId="0" applyNumberFormat="1" applyFont="1" applyBorder="1" applyAlignment="1">
      <alignment horizontal="left" vertical="center"/>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6" fillId="0" borderId="0" xfId="0" applyFont="1" applyBorder="1" applyAlignment="1">
      <alignment horizontal="center"/>
    </xf>
    <xf numFmtId="0" fontId="3" fillId="0" borderId="0" xfId="0" applyFont="1" applyAlignment="1">
      <alignment horizontal="left" vertical="center"/>
    </xf>
    <xf numFmtId="164" fontId="5" fillId="0" borderId="4"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2" fontId="5" fillId="0" borderId="4"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0" fontId="5" fillId="0" borderId="0" xfId="0" applyFont="1" applyBorder="1" applyAlignment="1">
      <alignment horizontal="center" vertical="center"/>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0" fillId="0" borderId="6" xfId="0" applyBorder="1" applyAlignment="1">
      <alignment horizontal="center"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42" fillId="0" borderId="81" xfId="0" applyFont="1" applyBorder="1" applyAlignment="1">
      <alignment horizontal="left" vertical="center"/>
    </xf>
    <xf numFmtId="0" fontId="41" fillId="8" borderId="49" xfId="0" applyFont="1" applyFill="1" applyBorder="1" applyAlignment="1">
      <alignment horizontal="center" vertical="center" wrapText="1"/>
    </xf>
    <xf numFmtId="0" fontId="41" fillId="8" borderId="60" xfId="0" applyFont="1" applyFill="1" applyBorder="1" applyAlignment="1">
      <alignment horizontal="center" vertical="center" wrapText="1"/>
    </xf>
    <xf numFmtId="0" fontId="8" fillId="4" borderId="49" xfId="0" applyFont="1" applyFill="1" applyBorder="1" applyAlignment="1" applyProtection="1">
      <alignment horizontal="center" wrapText="1"/>
      <protection locked="0"/>
    </xf>
    <xf numFmtId="0" fontId="8" fillId="4" borderId="54" xfId="0" applyFont="1" applyFill="1" applyBorder="1" applyAlignment="1" applyProtection="1">
      <alignment horizontal="center" wrapText="1"/>
      <protection locked="0"/>
    </xf>
    <xf numFmtId="0" fontId="8" fillId="4" borderId="65" xfId="0" applyFont="1" applyFill="1" applyBorder="1" applyAlignment="1" applyProtection="1">
      <alignment horizontal="center" wrapText="1"/>
      <protection locked="0"/>
    </xf>
    <xf numFmtId="0" fontId="48" fillId="0" borderId="0" xfId="0" applyFont="1" applyFill="1" applyBorder="1" applyAlignment="1" applyProtection="1">
      <alignment horizontal="center" wrapText="1"/>
      <protection locked="0"/>
    </xf>
    <xf numFmtId="0" fontId="41" fillId="7" borderId="0" xfId="0" applyFont="1" applyFill="1" applyBorder="1" applyAlignment="1" applyProtection="1">
      <alignment horizontal="center" vertical="center" wrapText="1"/>
    </xf>
    <xf numFmtId="2" fontId="42" fillId="4" borderId="51" xfId="0" applyNumberFormat="1" applyFont="1" applyFill="1" applyBorder="1" applyAlignment="1">
      <alignment horizontal="center" vertical="center"/>
    </xf>
    <xf numFmtId="2" fontId="42" fillId="4" borderId="53" xfId="0" applyNumberFormat="1" applyFont="1" applyFill="1" applyBorder="1" applyAlignment="1">
      <alignment horizontal="center" vertical="center"/>
    </xf>
    <xf numFmtId="2" fontId="42" fillId="0" borderId="51" xfId="0" applyNumberFormat="1" applyFont="1" applyBorder="1" applyAlignment="1">
      <alignment horizontal="center" vertical="center"/>
    </xf>
    <xf numFmtId="2" fontId="42" fillId="0" borderId="53" xfId="0" applyNumberFormat="1" applyFont="1" applyBorder="1" applyAlignment="1">
      <alignment horizontal="center" vertical="center"/>
    </xf>
    <xf numFmtId="2" fontId="24" fillId="7" borderId="0" xfId="0" applyNumberFormat="1" applyFont="1" applyFill="1" applyBorder="1" applyAlignment="1" applyProtection="1">
      <alignment horizontal="center" vertical="center"/>
    </xf>
    <xf numFmtId="2" fontId="42" fillId="7" borderId="0" xfId="0" applyNumberFormat="1" applyFont="1" applyFill="1" applyAlignment="1">
      <alignment horizontal="center" vertical="center"/>
    </xf>
    <xf numFmtId="0" fontId="41" fillId="9" borderId="0" xfId="0" applyFont="1" applyFill="1" applyBorder="1" applyAlignment="1">
      <alignment horizontal="center" vertical="center"/>
    </xf>
    <xf numFmtId="0" fontId="42" fillId="0" borderId="51" xfId="0" applyFont="1" applyBorder="1" applyAlignment="1">
      <alignment horizontal="center" vertical="center"/>
    </xf>
    <xf numFmtId="0" fontId="42" fillId="0" borderId="53" xfId="0" applyFont="1" applyBorder="1" applyAlignment="1">
      <alignment horizontal="center" vertical="center"/>
    </xf>
    <xf numFmtId="0" fontId="41" fillId="7" borderId="0" xfId="0" applyFont="1" applyFill="1" applyAlignment="1">
      <alignment horizontal="center" vertical="top" wrapText="1"/>
    </xf>
    <xf numFmtId="0" fontId="41" fillId="7" borderId="0" xfId="0" applyFont="1" applyFill="1" applyBorder="1" applyAlignment="1">
      <alignment horizontal="center" vertical="center" wrapText="1"/>
    </xf>
    <xf numFmtId="0" fontId="24" fillId="7" borderId="0" xfId="0" applyFont="1" applyFill="1" applyBorder="1" applyAlignment="1">
      <alignment horizontal="center" vertical="center" wrapText="1"/>
    </xf>
    <xf numFmtId="0" fontId="42" fillId="7" borderId="0" xfId="0" applyFont="1" applyFill="1" applyBorder="1" applyAlignment="1">
      <alignment horizontal="center" vertical="center" wrapText="1"/>
    </xf>
    <xf numFmtId="0" fontId="41" fillId="9" borderId="74" xfId="0" applyFont="1" applyFill="1" applyBorder="1" applyAlignment="1">
      <alignment horizontal="center" vertical="center"/>
    </xf>
    <xf numFmtId="0" fontId="11" fillId="7" borderId="0" xfId="0" applyFont="1" applyFill="1" applyBorder="1" applyAlignment="1">
      <alignment horizontal="center"/>
    </xf>
    <xf numFmtId="3" fontId="24" fillId="7" borderId="0" xfId="0" applyNumberFormat="1" applyFont="1" applyFill="1" applyBorder="1" applyAlignment="1" applyProtection="1">
      <alignment horizontal="center"/>
    </xf>
    <xf numFmtId="0" fontId="42" fillId="7" borderId="0" xfId="0" applyFont="1" applyFill="1" applyBorder="1" applyAlignment="1">
      <alignment horizontal="center" vertical="center"/>
    </xf>
    <xf numFmtId="0" fontId="24" fillId="7" borderId="0" xfId="0" applyFont="1" applyFill="1" applyBorder="1" applyAlignment="1">
      <alignment horizontal="center" vertical="center"/>
    </xf>
    <xf numFmtId="0" fontId="42" fillId="7" borderId="0" xfId="0" applyFont="1" applyFill="1" applyAlignment="1">
      <alignment horizontal="center" vertical="center"/>
    </xf>
    <xf numFmtId="0" fontId="34" fillId="0" borderId="4" xfId="0" applyFont="1" applyBorder="1" applyAlignment="1">
      <alignment horizontal="center" vertical="center" wrapText="1"/>
    </xf>
    <xf numFmtId="0" fontId="3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49" fontId="5" fillId="0" borderId="4" xfId="1" applyNumberFormat="1" applyFont="1" applyBorder="1" applyAlignment="1">
      <alignment horizontal="center" vertical="center" wrapText="1"/>
    </xf>
    <xf numFmtId="49" fontId="5" fillId="0" borderId="6" xfId="1" applyNumberFormat="1" applyFont="1" applyBorder="1" applyAlignment="1">
      <alignment horizontal="center" vertical="center" wrapText="1"/>
    </xf>
    <xf numFmtId="165" fontId="5" fillId="0" borderId="4" xfId="1" applyNumberFormat="1" applyFont="1" applyBorder="1" applyAlignment="1">
      <alignment horizontal="center" vertical="center" wrapText="1"/>
    </xf>
    <xf numFmtId="165" fontId="5" fillId="0" borderId="6" xfId="1" applyNumberFormat="1" applyFont="1" applyBorder="1" applyAlignment="1">
      <alignment horizontal="center" vertical="center" wrapText="1"/>
    </xf>
    <xf numFmtId="8" fontId="5" fillId="0" borderId="4" xfId="0" applyNumberFormat="1" applyFont="1" applyBorder="1" applyAlignment="1">
      <alignment horizontal="center" vertical="center" wrapText="1"/>
    </xf>
    <xf numFmtId="8" fontId="5" fillId="0" borderId="6" xfId="0" applyNumberFormat="1" applyFont="1" applyBorder="1" applyAlignment="1">
      <alignment horizontal="center" vertical="center" wrapText="1"/>
    </xf>
    <xf numFmtId="8" fontId="5" fillId="0" borderId="14" xfId="0" applyNumberFormat="1" applyFont="1" applyBorder="1" applyAlignment="1">
      <alignment horizontal="center" vertical="center" wrapText="1"/>
    </xf>
    <xf numFmtId="8" fontId="5" fillId="0" borderId="7" xfId="0" applyNumberFormat="1" applyFont="1" applyBorder="1" applyAlignment="1">
      <alignment horizontal="center" vertical="center" wrapText="1"/>
    </xf>
    <xf numFmtId="0" fontId="4" fillId="0" borderId="0" xfId="0" applyFont="1" applyAlignment="1">
      <alignment horizontal="left" vertical="center" wrapText="1"/>
    </xf>
    <xf numFmtId="49" fontId="3" fillId="0" borderId="0" xfId="0" applyNumberFormat="1" applyFont="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1"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4" fillId="0" borderId="0" xfId="0" applyFont="1" applyAlignment="1" applyProtection="1">
      <alignment horizontal="left" vertical="center"/>
    </xf>
    <xf numFmtId="0" fontId="4" fillId="0" borderId="9" xfId="0" applyFont="1" applyBorder="1" applyAlignment="1" applyProtection="1">
      <alignment horizontal="left" vertical="center"/>
    </xf>
    <xf numFmtId="0" fontId="5" fillId="0" borderId="1"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3" fontId="9" fillId="3" borderId="34" xfId="4" applyNumberFormat="1" applyFont="1" applyFill="1" applyBorder="1" applyAlignment="1" applyProtection="1">
      <alignment horizontal="center" vertical="center" wrapText="1"/>
    </xf>
    <xf numFmtId="3" fontId="9" fillId="3" borderId="33" xfId="4" applyNumberFormat="1" applyFont="1" applyFill="1" applyBorder="1" applyAlignment="1" applyProtection="1">
      <alignment horizontal="center" vertical="center" wrapText="1"/>
    </xf>
    <xf numFmtId="3" fontId="9" fillId="3" borderId="35" xfId="4" applyNumberFormat="1" applyFont="1" applyFill="1" applyBorder="1" applyAlignment="1" applyProtection="1">
      <alignment horizontal="center" vertical="center" wrapText="1"/>
    </xf>
    <xf numFmtId="1" fontId="23" fillId="3" borderId="2" xfId="4" applyNumberFormat="1" applyFont="1" applyFill="1" applyBorder="1" applyAlignment="1" applyProtection="1">
      <alignment horizontal="center"/>
    </xf>
    <xf numFmtId="1" fontId="23" fillId="3" borderId="3" xfId="4" applyNumberFormat="1" applyFont="1" applyFill="1" applyBorder="1" applyAlignment="1" applyProtection="1">
      <alignment horizontal="center"/>
    </xf>
    <xf numFmtId="1" fontId="23" fillId="3" borderId="42" xfId="4" applyNumberFormat="1" applyFont="1" applyFill="1" applyBorder="1" applyAlignment="1" applyProtection="1">
      <alignment horizontal="center"/>
    </xf>
    <xf numFmtId="1" fontId="23" fillId="3" borderId="43" xfId="4" applyNumberFormat="1" applyFont="1" applyFill="1" applyBorder="1" applyAlignment="1" applyProtection="1">
      <alignment horizontal="center"/>
    </xf>
    <xf numFmtId="0" fontId="9" fillId="3" borderId="28" xfId="4" applyFont="1" applyFill="1" applyBorder="1" applyAlignment="1" applyProtection="1">
      <alignment horizontal="center" vertical="center" wrapText="1"/>
    </xf>
    <xf numFmtId="0" fontId="9" fillId="3" borderId="30" xfId="4" applyFont="1" applyFill="1" applyBorder="1" applyAlignment="1" applyProtection="1">
      <alignment horizontal="center" vertical="center" wrapText="1"/>
    </xf>
    <xf numFmtId="0" fontId="9" fillId="3" borderId="31" xfId="4" applyFont="1" applyFill="1" applyBorder="1" applyAlignment="1" applyProtection="1">
      <alignment horizontal="center" vertical="center" wrapText="1"/>
    </xf>
    <xf numFmtId="0" fontId="9" fillId="3" borderId="29" xfId="4" applyNumberFormat="1" applyFont="1" applyFill="1" applyBorder="1" applyAlignment="1" applyProtection="1">
      <alignment horizontal="center" vertical="center" wrapText="1"/>
    </xf>
    <xf numFmtId="0" fontId="9" fillId="3" borderId="5" xfId="4" applyNumberFormat="1" applyFont="1" applyFill="1" applyBorder="1" applyAlignment="1" applyProtection="1">
      <alignment horizontal="center" vertical="center" wrapText="1"/>
    </xf>
    <xf numFmtId="0" fontId="9" fillId="3" borderId="32" xfId="4" applyNumberFormat="1" applyFont="1" applyFill="1" applyBorder="1" applyAlignment="1" applyProtection="1">
      <alignment horizontal="center" vertical="center" wrapText="1"/>
    </xf>
    <xf numFmtId="169" fontId="9" fillId="3" borderId="29" xfId="4" applyNumberFormat="1" applyFont="1" applyFill="1" applyBorder="1" applyAlignment="1" applyProtection="1">
      <alignment horizontal="center" vertical="center" wrapText="1"/>
    </xf>
    <xf numFmtId="169" fontId="9" fillId="3" borderId="5" xfId="4" applyNumberFormat="1" applyFont="1" applyFill="1" applyBorder="1" applyAlignment="1" applyProtection="1">
      <alignment horizontal="center" vertical="center" wrapText="1"/>
    </xf>
    <xf numFmtId="169" fontId="9" fillId="3" borderId="32" xfId="4" applyNumberFormat="1" applyFont="1" applyFill="1" applyBorder="1" applyAlignment="1" applyProtection="1">
      <alignment horizontal="center" vertical="center" wrapText="1"/>
    </xf>
    <xf numFmtId="0" fontId="9" fillId="3" borderId="29" xfId="4" applyFont="1" applyFill="1" applyBorder="1" applyAlignment="1" applyProtection="1">
      <alignment horizontal="center" vertical="center" wrapText="1"/>
    </xf>
    <xf numFmtId="0" fontId="9" fillId="3" borderId="5" xfId="4" applyFont="1" applyFill="1" applyBorder="1" applyAlignment="1" applyProtection="1">
      <alignment horizontal="center" vertical="center" wrapText="1"/>
    </xf>
    <xf numFmtId="0" fontId="9" fillId="3" borderId="32" xfId="4" applyFont="1" applyFill="1" applyBorder="1" applyAlignment="1" applyProtection="1">
      <alignment horizontal="center" vertical="center" wrapText="1"/>
    </xf>
  </cellXfs>
  <cellStyles count="7">
    <cellStyle name="Komma" xfId="3" builtinId="3"/>
    <cellStyle name="Link" xfId="6" builtinId="8"/>
    <cellStyle name="Prozent" xfId="2" builtinId="5"/>
    <cellStyle name="Standard" xfId="0" builtinId="0"/>
    <cellStyle name="Standard 2" xfId="5" xr:uid="{00000000-0005-0000-0000-000003000000}"/>
    <cellStyle name="Standard_Investitionen2003" xfId="4" xr:uid="{00000000-0005-0000-0000-000004000000}"/>
    <cellStyle name="Währung" xfId="1" builtinId="4"/>
  </cellStyles>
  <dxfs count="51">
    <dxf>
      <font>
        <color theme="0"/>
      </font>
      <fill>
        <patternFill>
          <bgColor theme="0"/>
        </patternFill>
      </fill>
      <border>
        <left/>
        <right/>
        <top/>
        <bottom/>
        <vertical/>
        <horizontal/>
      </border>
    </dxf>
    <dxf>
      <fill>
        <patternFill>
          <bgColor theme="7"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6" tint="0.79998168889431442"/>
        </patternFill>
      </fill>
    </dxf>
    <dxf>
      <fill>
        <patternFill>
          <bgColor theme="7" tint="0.79998168889431442"/>
        </patternFill>
      </fill>
    </dxf>
    <dxf>
      <fill>
        <patternFill>
          <bgColor theme="6" tint="0.79998168889431442"/>
        </patternFill>
      </fill>
    </dxf>
    <dxf>
      <fill>
        <patternFill>
          <bgColor theme="7" tint="0.79998168889431442"/>
        </patternFill>
      </fill>
    </dxf>
    <dxf>
      <fill>
        <patternFill>
          <bgColor theme="6" tint="0.79998168889431442"/>
        </patternFill>
      </fill>
    </dxf>
    <dxf>
      <fill>
        <patternFill>
          <bgColor theme="7" tint="0.79998168889431442"/>
        </patternFill>
      </fill>
    </dxf>
    <dxf>
      <fill>
        <patternFill>
          <bgColor theme="6" tint="0.79998168889431442"/>
        </patternFill>
      </fill>
    </dxf>
    <dxf>
      <fill>
        <patternFill>
          <bgColor theme="7" tint="0.79998168889431442"/>
        </patternFill>
      </fill>
    </dxf>
    <dxf>
      <fill>
        <patternFill>
          <bgColor theme="6" tint="0.79998168889431442"/>
        </patternFill>
      </fill>
    </dxf>
    <dxf>
      <fill>
        <patternFill>
          <bgColor theme="7" tint="0.79998168889431442"/>
        </patternFill>
      </fill>
    </dxf>
    <dxf>
      <fill>
        <patternFill>
          <bgColor theme="7" tint="0.79998168889431442"/>
        </patternFill>
      </fill>
    </dxf>
    <dxf>
      <font>
        <color theme="0"/>
      </font>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6" tint="0.79998168889431442"/>
        </patternFill>
      </fill>
    </dxf>
    <dxf>
      <fill>
        <patternFill>
          <bgColor theme="7" tint="0.79998168889431442"/>
        </patternFill>
      </fill>
    </dxf>
    <dxf>
      <fill>
        <patternFill>
          <bgColor theme="6" tint="-0.24994659260841701"/>
        </patternFill>
      </fill>
    </dxf>
    <dxf>
      <fill>
        <patternFill>
          <bgColor theme="6" tint="-0.24994659260841701"/>
        </patternFill>
      </fill>
    </dxf>
    <dxf>
      <fill>
        <patternFill>
          <bgColor theme="6" tint="0.79998168889431442"/>
        </patternFill>
      </fill>
    </dxf>
    <dxf>
      <fill>
        <patternFill>
          <bgColor theme="7" tint="-0.24994659260841701"/>
        </patternFill>
      </fill>
    </dxf>
    <dxf>
      <fill>
        <patternFill>
          <bgColor theme="7" tint="0.79998168889431442"/>
        </patternFill>
      </fill>
    </dxf>
    <dxf>
      <fill>
        <patternFill>
          <bgColor theme="6" tint="0.79998168889431442"/>
        </patternFill>
      </fill>
    </dxf>
    <dxf>
      <fill>
        <patternFill>
          <bgColor theme="6" tint="0.79998168889431442"/>
        </patternFill>
      </fill>
    </dxf>
    <dxf>
      <fill>
        <patternFill>
          <bgColor theme="7" tint="0.79998168889431442"/>
        </patternFill>
      </fill>
    </dxf>
    <dxf>
      <fill>
        <patternFill>
          <bgColor theme="6" tint="0.79998168889431442"/>
        </patternFill>
      </fill>
    </dxf>
    <dxf>
      <fill>
        <patternFill>
          <bgColor theme="7" tint="0.79998168889431442"/>
        </patternFill>
      </fill>
    </dxf>
    <dxf>
      <fill>
        <patternFill>
          <bgColor theme="6" tint="0.79998168889431442"/>
        </patternFill>
      </fill>
    </dxf>
    <dxf>
      <fill>
        <patternFill>
          <bgColor theme="7" tint="0.79998168889431442"/>
        </patternFill>
      </fill>
    </dxf>
    <dxf>
      <border>
        <top style="thin">
          <color auto="1"/>
        </top>
        <vertical/>
        <horizontal/>
      </border>
    </dxf>
    <dxf>
      <font>
        <color theme="0"/>
      </font>
      <fill>
        <patternFill>
          <bgColor theme="0"/>
        </patternFill>
      </fill>
      <border>
        <left/>
        <right/>
        <top/>
        <bottom/>
        <vertical/>
        <horizontal/>
      </border>
    </dxf>
    <dxf>
      <border>
        <top style="thin">
          <color auto="1"/>
        </top>
        <vertical/>
        <horizontal/>
      </border>
    </dxf>
    <dxf>
      <font>
        <color theme="0"/>
      </font>
      <fill>
        <patternFill>
          <bgColor theme="0"/>
        </patternFill>
      </fill>
      <border>
        <left/>
        <right/>
        <top/>
        <bottom/>
        <vertical/>
        <horizontal/>
      </border>
    </dxf>
    <dxf>
      <fill>
        <patternFill patternType="none">
          <bgColor auto="1"/>
        </patternFill>
      </fill>
    </dxf>
    <dxf>
      <fill>
        <patternFill patternType="none">
          <bgColor auto="1"/>
        </patternFill>
      </fill>
    </dxf>
    <dxf>
      <font>
        <color theme="0" tint="-0.14996795556505021"/>
      </font>
    </dxf>
    <dxf>
      <font>
        <color theme="0"/>
      </font>
      <fill>
        <patternFill>
          <bgColor theme="0"/>
        </patternFill>
      </fill>
    </dxf>
    <dxf>
      <fill>
        <patternFill>
          <bgColor theme="6" tint="0.79998168889431442"/>
        </patternFill>
      </fill>
    </dxf>
    <dxf>
      <fill>
        <patternFill>
          <bgColor theme="6"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bpa">
      <a:dk1>
        <a:sysClr val="windowText" lastClr="000000"/>
      </a:dk1>
      <a:lt1>
        <a:sysClr val="window" lastClr="FFFFFF"/>
      </a:lt1>
      <a:dk2>
        <a:srgbClr val="1962A1"/>
      </a:dk2>
      <a:lt2>
        <a:srgbClr val="D1E5F9"/>
      </a:lt2>
      <a:accent1>
        <a:srgbClr val="0B4A7C"/>
      </a:accent1>
      <a:accent2>
        <a:srgbClr val="93BDE8"/>
      </a:accent2>
      <a:accent3>
        <a:srgbClr val="D89427"/>
      </a:accent3>
      <a:accent4>
        <a:srgbClr val="AC2326"/>
      </a:accent4>
      <a:accent5>
        <a:srgbClr val="A7C132"/>
      </a:accent5>
      <a:accent6>
        <a:srgbClr val="8D1C6F"/>
      </a:accent6>
      <a:hlink>
        <a:srgbClr val="409378"/>
      </a:hlink>
      <a:folHlink>
        <a:srgbClr val="D4D4D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K119"/>
  <sheetViews>
    <sheetView showGridLines="0" tabSelected="1" zoomScale="90" zoomScaleNormal="90" workbookViewId="0">
      <selection activeCell="B4" sqref="B4"/>
    </sheetView>
  </sheetViews>
  <sheetFormatPr baseColWidth="10" defaultColWidth="11.42578125" defaultRowHeight="14.25"/>
  <cols>
    <col min="1" max="1" width="4.28515625" style="8" customWidth="1"/>
    <col min="2" max="2" width="24.5703125" style="7" customWidth="1"/>
    <col min="3" max="3" width="9.28515625" style="7" customWidth="1"/>
    <col min="4" max="4" width="10.28515625" style="7" customWidth="1"/>
    <col min="5" max="6" width="17.28515625" style="7" customWidth="1"/>
    <col min="7" max="7" width="1.7109375" style="7" customWidth="1"/>
    <col min="8" max="8" width="34.7109375" style="7" customWidth="1"/>
    <col min="9" max="16384" width="11.42578125" style="7"/>
  </cols>
  <sheetData>
    <row r="1" spans="1:8" ht="15.95" customHeight="1">
      <c r="A1" s="546" t="str">
        <f>"Kalkulation "&amp;TEXT(Kalkulationsblatt!E23,"")&amp;" "&amp;TEXT(Kalkulationsblatt!C4,"")&amp;""</f>
        <v xml:space="preserve">Kalkulation  </v>
      </c>
      <c r="B1" s="547"/>
      <c r="C1" s="547"/>
      <c r="D1" s="547"/>
      <c r="E1" s="547"/>
      <c r="F1" s="548"/>
      <c r="H1" s="22"/>
    </row>
    <row r="2" spans="1:8" ht="15.95" customHeight="1">
      <c r="A2" s="549" t="str">
        <f>"für den Zeitraum von "&amp;TEXT(Kalkulationsblatt!B21,"TT. MMMM JJJJ")&amp;" bis zum "&amp;TEXT(Kalkulationsblatt!E21,"TT. MMMM JJJJ")&amp;""</f>
        <v>für den Zeitraum von 00. Januar 1900 bis zum 00. Januar 1900</v>
      </c>
      <c r="B2" s="550"/>
      <c r="C2" s="550"/>
      <c r="D2" s="550"/>
      <c r="E2" s="550"/>
      <c r="F2" s="551"/>
    </row>
    <row r="3" spans="1:8" ht="15.95" customHeight="1">
      <c r="A3" s="525" t="s">
        <v>17</v>
      </c>
      <c r="B3" s="354" t="s">
        <v>242</v>
      </c>
      <c r="C3" s="352"/>
      <c r="D3" s="352"/>
      <c r="E3" s="352"/>
      <c r="F3" s="353"/>
    </row>
    <row r="4" spans="1:8" ht="15.95" customHeight="1">
      <c r="A4" s="10"/>
      <c r="B4" s="11" t="s">
        <v>167</v>
      </c>
      <c r="C4" s="557"/>
      <c r="D4" s="558"/>
      <c r="E4" s="558"/>
      <c r="F4" s="559"/>
    </row>
    <row r="5" spans="1:8" ht="15.95" customHeight="1">
      <c r="A5" s="12"/>
      <c r="B5" s="13" t="s">
        <v>168</v>
      </c>
      <c r="C5" s="533"/>
      <c r="D5" s="534"/>
      <c r="E5" s="534"/>
      <c r="F5" s="535"/>
    </row>
    <row r="6" spans="1:8" ht="15.95" customHeight="1">
      <c r="A6" s="12"/>
      <c r="B6" s="13" t="s">
        <v>169</v>
      </c>
      <c r="C6" s="515"/>
      <c r="D6" s="572"/>
      <c r="E6" s="534"/>
      <c r="F6" s="535"/>
    </row>
    <row r="7" spans="1:8" ht="15.95" customHeight="1">
      <c r="A7" s="12"/>
      <c r="B7" s="14" t="s">
        <v>170</v>
      </c>
      <c r="C7" s="533"/>
      <c r="D7" s="534"/>
      <c r="E7" s="534"/>
      <c r="F7" s="535"/>
    </row>
    <row r="8" spans="1:8" ht="15.95" customHeight="1">
      <c r="A8" s="12"/>
      <c r="B8" s="14" t="s">
        <v>171</v>
      </c>
      <c r="C8" s="533"/>
      <c r="D8" s="534"/>
      <c r="E8" s="534"/>
      <c r="F8" s="535"/>
    </row>
    <row r="9" spans="1:8" ht="15.95" customHeight="1">
      <c r="A9" s="12"/>
      <c r="B9" s="14" t="s">
        <v>172</v>
      </c>
      <c r="C9" s="536"/>
      <c r="D9" s="534"/>
      <c r="E9" s="534"/>
      <c r="F9" s="535"/>
    </row>
    <row r="10" spans="1:8" ht="15.95" customHeight="1">
      <c r="A10" s="12"/>
      <c r="B10" s="14" t="s">
        <v>173</v>
      </c>
      <c r="C10" s="533"/>
      <c r="D10" s="534"/>
      <c r="E10" s="534"/>
      <c r="F10" s="535"/>
    </row>
    <row r="11" spans="1:8" ht="15.95" customHeight="1">
      <c r="A11" s="526" t="s">
        <v>18</v>
      </c>
      <c r="B11" s="358" t="s">
        <v>243</v>
      </c>
      <c r="C11" s="356"/>
      <c r="D11" s="356"/>
      <c r="E11" s="356"/>
      <c r="F11" s="357"/>
    </row>
    <row r="12" spans="1:8" ht="15.95" customHeight="1">
      <c r="A12" s="355"/>
      <c r="B12" s="11" t="s">
        <v>167</v>
      </c>
      <c r="C12" s="533"/>
      <c r="D12" s="534"/>
      <c r="E12" s="534"/>
      <c r="F12" s="535"/>
    </row>
    <row r="13" spans="1:8" ht="15.95" customHeight="1">
      <c r="A13" s="12"/>
      <c r="B13" s="13" t="s">
        <v>168</v>
      </c>
      <c r="C13" s="533"/>
      <c r="D13" s="534"/>
      <c r="E13" s="534"/>
      <c r="F13" s="535"/>
    </row>
    <row r="14" spans="1:8" ht="15.95" customHeight="1">
      <c r="A14" s="12"/>
      <c r="B14" s="13" t="s">
        <v>169</v>
      </c>
      <c r="C14" s="515"/>
      <c r="D14" s="534"/>
      <c r="E14" s="534"/>
      <c r="F14" s="535"/>
      <c r="H14" s="516"/>
    </row>
    <row r="15" spans="1:8" ht="15.95" customHeight="1">
      <c r="A15" s="12"/>
      <c r="B15" s="14" t="s">
        <v>170</v>
      </c>
      <c r="C15" s="533"/>
      <c r="D15" s="534"/>
      <c r="E15" s="534"/>
      <c r="F15" s="535"/>
    </row>
    <row r="16" spans="1:8" ht="15.95" customHeight="1">
      <c r="A16" s="12"/>
      <c r="B16" s="14" t="s">
        <v>171</v>
      </c>
      <c r="C16" s="533"/>
      <c r="D16" s="534"/>
      <c r="E16" s="534"/>
      <c r="F16" s="535"/>
    </row>
    <row r="17" spans="1:6" ht="15.95" customHeight="1">
      <c r="A17" s="12"/>
      <c r="B17" s="14" t="s">
        <v>172</v>
      </c>
      <c r="C17" s="571"/>
      <c r="D17" s="534"/>
      <c r="E17" s="534"/>
      <c r="F17" s="535"/>
    </row>
    <row r="18" spans="1:6" ht="15.95" customHeight="1">
      <c r="A18" s="10" t="s">
        <v>19</v>
      </c>
      <c r="B18" s="543" t="s">
        <v>15</v>
      </c>
      <c r="C18" s="544"/>
      <c r="D18" s="10" t="s">
        <v>20</v>
      </c>
      <c r="E18" s="543" t="s">
        <v>166</v>
      </c>
      <c r="F18" s="544"/>
    </row>
    <row r="19" spans="1:6" ht="15.95" customHeight="1">
      <c r="A19" s="15"/>
      <c r="B19" s="560"/>
      <c r="C19" s="561"/>
      <c r="D19" s="15"/>
      <c r="E19" s="560"/>
      <c r="F19" s="561"/>
    </row>
    <row r="20" spans="1:6" ht="15.95" customHeight="1">
      <c r="A20" s="10" t="s">
        <v>21</v>
      </c>
      <c r="B20" s="18" t="s">
        <v>5</v>
      </c>
      <c r="C20" s="18"/>
      <c r="D20" s="491"/>
      <c r="E20" s="17"/>
      <c r="F20" s="20"/>
    </row>
    <row r="21" spans="1:6" ht="15.6" customHeight="1">
      <c r="A21" s="15"/>
      <c r="B21" s="562"/>
      <c r="C21" s="563"/>
      <c r="D21" s="492" t="s">
        <v>228</v>
      </c>
      <c r="E21" s="562"/>
      <c r="F21" s="564"/>
    </row>
    <row r="22" spans="1:6" ht="15.95" customHeight="1">
      <c r="A22" s="355" t="s">
        <v>22</v>
      </c>
      <c r="B22" s="14" t="s">
        <v>269</v>
      </c>
      <c r="C22" s="490"/>
      <c r="D22" s="355" t="s">
        <v>23</v>
      </c>
      <c r="E22" s="543" t="s">
        <v>277</v>
      </c>
      <c r="F22" s="544"/>
    </row>
    <row r="23" spans="1:6" ht="15.95" customHeight="1">
      <c r="A23" s="15"/>
      <c r="B23" s="567" t="str">
        <f>IF('Berechnung verfügbare AZ'!D72="","",'Berechnung verfügbare AZ'!D72*'PK Zusammenfassung'!L9)</f>
        <v/>
      </c>
      <c r="C23" s="568"/>
      <c r="D23" s="15"/>
      <c r="E23" s="539"/>
      <c r="F23" s="540"/>
    </row>
    <row r="24" spans="1:6" ht="15.95" customHeight="1">
      <c r="A24" s="10" t="s">
        <v>24</v>
      </c>
      <c r="B24" s="543" t="s">
        <v>68</v>
      </c>
      <c r="C24" s="544"/>
      <c r="D24" s="10" t="s">
        <v>25</v>
      </c>
      <c r="E24" s="543" t="s">
        <v>209</v>
      </c>
      <c r="F24" s="544"/>
    </row>
    <row r="25" spans="1:6" ht="15.95" customHeight="1">
      <c r="A25" s="15"/>
      <c r="B25" s="569"/>
      <c r="C25" s="570"/>
      <c r="D25" s="15"/>
      <c r="E25" s="541" t="str">
        <f>IF(B23="","",B23*B25)</f>
        <v/>
      </c>
      <c r="F25" s="542"/>
    </row>
    <row r="26" spans="1:6" ht="15.95" customHeight="1">
      <c r="A26" s="10" t="s">
        <v>26</v>
      </c>
      <c r="B26" s="543" t="s">
        <v>218</v>
      </c>
      <c r="C26" s="544"/>
      <c r="D26" s="10"/>
      <c r="E26" s="17"/>
      <c r="F26" s="20"/>
    </row>
    <row r="27" spans="1:6" ht="15.95" customHeight="1">
      <c r="A27" s="15"/>
      <c r="B27" s="537"/>
      <c r="C27" s="538"/>
      <c r="D27" s="15"/>
      <c r="E27" s="266"/>
      <c r="F27" s="16"/>
    </row>
    <row r="28" spans="1:6" ht="15.95" customHeight="1">
      <c r="A28" s="21"/>
      <c r="B28" s="22"/>
      <c r="C28" s="22"/>
      <c r="D28" s="22"/>
      <c r="E28" s="22"/>
      <c r="F28" s="22"/>
    </row>
    <row r="29" spans="1:6" ht="15.95" customHeight="1" thickBot="1">
      <c r="A29" s="21"/>
      <c r="B29" s="22"/>
      <c r="C29" s="22"/>
      <c r="D29" s="22"/>
      <c r="E29" s="22"/>
      <c r="F29" s="22"/>
    </row>
    <row r="30" spans="1:6" ht="15.95" customHeight="1" thickTop="1">
      <c r="A30" s="23"/>
      <c r="B30" s="24"/>
      <c r="C30" s="25"/>
      <c r="D30" s="26"/>
      <c r="E30" s="27" t="s">
        <v>27</v>
      </c>
      <c r="F30" s="28" t="s">
        <v>28</v>
      </c>
    </row>
    <row r="31" spans="1:6" ht="15.95" customHeight="1">
      <c r="A31" s="29"/>
      <c r="B31" s="30" t="s">
        <v>6</v>
      </c>
      <c r="C31" s="18"/>
      <c r="D31" s="19"/>
      <c r="E31" s="18" t="s">
        <v>30</v>
      </c>
      <c r="F31" s="31" t="s">
        <v>31</v>
      </c>
    </row>
    <row r="32" spans="1:6" ht="15.95" customHeight="1">
      <c r="A32" s="15"/>
      <c r="B32" s="32"/>
      <c r="C32" s="33"/>
      <c r="D32" s="16"/>
      <c r="E32" s="32" t="s">
        <v>32</v>
      </c>
      <c r="F32" s="34" t="s">
        <v>241</v>
      </c>
    </row>
    <row r="33" spans="1:9" ht="15.95" customHeight="1">
      <c r="A33" s="35"/>
      <c r="B33" s="36"/>
      <c r="C33" s="37"/>
      <c r="D33" s="37"/>
      <c r="E33" s="38"/>
      <c r="F33" s="39"/>
    </row>
    <row r="34" spans="1:9" ht="15.95" customHeight="1">
      <c r="A34" s="40"/>
      <c r="B34" s="545" t="str">
        <f>"Personalaufwand "&amp;TEXT(Kalkulationsblatt!E23,"")&amp;""</f>
        <v xml:space="preserve">Personalaufwand </v>
      </c>
      <c r="C34" s="545"/>
      <c r="D34" s="545"/>
      <c r="E34" s="41"/>
      <c r="F34" s="42"/>
    </row>
    <row r="35" spans="1:9" ht="15.95" customHeight="1">
      <c r="A35" s="553" t="s">
        <v>29</v>
      </c>
      <c r="B35" s="573" t="str">
        <f>'PK Zusammenfassung'!C9</f>
        <v xml:space="preserve">Betreuungskräfte </v>
      </c>
      <c r="C35" s="574"/>
      <c r="D35" s="575"/>
      <c r="E35" s="555">
        <f>'PK Zusammenfassung'!J9</f>
        <v>0</v>
      </c>
      <c r="F35" s="565" t="str">
        <f>IF($E$25="","",ROUND(E35/$E$25,1))</f>
        <v/>
      </c>
    </row>
    <row r="36" spans="1:9" ht="15.95" customHeight="1">
      <c r="A36" s="554"/>
      <c r="B36" s="576"/>
      <c r="C36" s="577"/>
      <c r="D36" s="578"/>
      <c r="E36" s="556"/>
      <c r="F36" s="566"/>
    </row>
    <row r="37" spans="1:9" ht="15.95" customHeight="1">
      <c r="A37" s="553" t="s">
        <v>250</v>
      </c>
      <c r="B37" s="573" t="s">
        <v>0</v>
      </c>
      <c r="C37" s="574"/>
      <c r="D37" s="575"/>
      <c r="E37" s="555">
        <f>'PK Zusammenfassung'!J22</f>
        <v>0</v>
      </c>
      <c r="F37" s="565" t="str">
        <f>IF($E$25="","",ROUND(E37/$E$25,1))</f>
        <v/>
      </c>
      <c r="G37" s="9"/>
    </row>
    <row r="38" spans="1:9" ht="15.95" customHeight="1">
      <c r="A38" s="554"/>
      <c r="B38" s="576"/>
      <c r="C38" s="577"/>
      <c r="D38" s="578"/>
      <c r="E38" s="556"/>
      <c r="F38" s="566"/>
      <c r="G38" s="9"/>
    </row>
    <row r="39" spans="1:9" ht="15.95" customHeight="1">
      <c r="A39" s="553" t="s">
        <v>33</v>
      </c>
      <c r="B39" s="573" t="s">
        <v>1</v>
      </c>
      <c r="C39" s="574"/>
      <c r="D39" s="575"/>
      <c r="E39" s="555">
        <f>'PK Zusammenfassung'!J27</f>
        <v>0</v>
      </c>
      <c r="F39" s="565" t="str">
        <f>IF($E$25="","",ROUND(E39/$E$25,1))</f>
        <v/>
      </c>
      <c r="G39" s="9"/>
    </row>
    <row r="40" spans="1:9" ht="15.95" customHeight="1">
      <c r="A40" s="554"/>
      <c r="B40" s="576"/>
      <c r="C40" s="577"/>
      <c r="D40" s="578"/>
      <c r="E40" s="556"/>
      <c r="F40" s="566"/>
    </row>
    <row r="41" spans="1:9" ht="15.95" customHeight="1">
      <c r="A41" s="553" t="s">
        <v>34</v>
      </c>
      <c r="B41" s="573" t="s">
        <v>2</v>
      </c>
      <c r="C41" s="574"/>
      <c r="D41" s="575"/>
      <c r="E41" s="581"/>
      <c r="F41" s="565" t="str">
        <f>IF($E$25="","",ROUND(E41/$E$25,1))</f>
        <v/>
      </c>
      <c r="H41" s="579" t="s">
        <v>239</v>
      </c>
      <c r="I41" s="552" t="str">
        <f>'PK AG_Brutto'!P18</f>
        <v/>
      </c>
    </row>
    <row r="42" spans="1:9" ht="15.95" customHeight="1" thickBot="1">
      <c r="A42" s="580"/>
      <c r="B42" s="583"/>
      <c r="C42" s="584"/>
      <c r="D42" s="585"/>
      <c r="E42" s="582"/>
      <c r="F42" s="566"/>
      <c r="H42" s="579"/>
      <c r="I42" s="552"/>
    </row>
    <row r="43" spans="1:9" ht="15.95" customHeight="1" thickTop="1">
      <c r="A43" s="586" t="s">
        <v>252</v>
      </c>
      <c r="B43" s="588" t="s">
        <v>253</v>
      </c>
      <c r="C43" s="589"/>
      <c r="D43" s="590"/>
      <c r="E43" s="594">
        <f>SUM(E35:E42)</f>
        <v>0</v>
      </c>
      <c r="F43" s="596" t="str">
        <f>IF(E25="","",ROUND(E43/$E$25,1))</f>
        <v/>
      </c>
    </row>
    <row r="44" spans="1:9" ht="15.95" customHeight="1" thickBot="1">
      <c r="A44" s="587"/>
      <c r="B44" s="591" t="s">
        <v>37</v>
      </c>
      <c r="C44" s="592"/>
      <c r="D44" s="593"/>
      <c r="E44" s="595"/>
      <c r="F44" s="597"/>
    </row>
    <row r="45" spans="1:9" ht="15.95" customHeight="1" thickTop="1">
      <c r="A45" s="43"/>
      <c r="B45" s="520"/>
      <c r="C45" s="44"/>
      <c r="D45" s="44"/>
      <c r="E45" s="44"/>
      <c r="F45" s="44"/>
    </row>
    <row r="46" spans="1:9" ht="15.95" customHeight="1">
      <c r="A46" s="45"/>
      <c r="B46" s="46"/>
      <c r="C46" s="46"/>
      <c r="D46" s="46"/>
      <c r="E46" s="46"/>
      <c r="F46" s="46"/>
    </row>
    <row r="47" spans="1:9" ht="15.95" customHeight="1">
      <c r="A47" s="47"/>
      <c r="B47" s="30" t="s">
        <v>6</v>
      </c>
      <c r="C47" s="18"/>
      <c r="D47" s="19"/>
      <c r="E47" s="31" t="s">
        <v>38</v>
      </c>
      <c r="F47" s="31" t="s">
        <v>31</v>
      </c>
      <c r="H47" s="36"/>
    </row>
    <row r="48" spans="1:9" ht="15.95" customHeight="1">
      <c r="A48" s="15"/>
      <c r="B48" s="32"/>
      <c r="C48" s="33"/>
      <c r="D48" s="16"/>
      <c r="E48" s="32" t="s">
        <v>39</v>
      </c>
      <c r="F48" s="34" t="s">
        <v>210</v>
      </c>
      <c r="H48" s="36"/>
    </row>
    <row r="49" spans="1:9" ht="15.95" customHeight="1">
      <c r="A49" s="35"/>
      <c r="B49" s="36"/>
      <c r="C49" s="37"/>
      <c r="D49" s="37"/>
      <c r="E49" s="48"/>
      <c r="F49" s="39"/>
      <c r="H49" s="635" t="s">
        <v>278</v>
      </c>
      <c r="I49" s="636"/>
    </row>
    <row r="50" spans="1:9" ht="15.95" customHeight="1">
      <c r="A50" s="40"/>
      <c r="B50" s="49" t="str">
        <f>"Sachaufwand "&amp;TEXT(Kalkulationsblatt!E23,"")&amp;""</f>
        <v xml:space="preserve">Sachaufwand </v>
      </c>
      <c r="C50" s="41"/>
      <c r="D50" s="41"/>
      <c r="E50" s="50"/>
      <c r="F50" s="42"/>
      <c r="H50" s="635"/>
      <c r="I50" s="636"/>
    </row>
    <row r="51" spans="1:9" ht="15.95" customHeight="1">
      <c r="A51" s="553" t="s">
        <v>254</v>
      </c>
      <c r="B51" s="573" t="s">
        <v>267</v>
      </c>
      <c r="C51" s="574"/>
      <c r="D51" s="575"/>
      <c r="E51" s="581"/>
      <c r="F51" s="565" t="str">
        <f>IF($E$25="","",ROUND(E51/$E$25,1))</f>
        <v/>
      </c>
      <c r="H51" s="36"/>
    </row>
    <row r="52" spans="1:9" ht="15.95" customHeight="1">
      <c r="A52" s="554"/>
      <c r="B52" s="576"/>
      <c r="C52" s="577"/>
      <c r="D52" s="578"/>
      <c r="E52" s="598"/>
      <c r="F52" s="566"/>
      <c r="H52" s="36"/>
    </row>
    <row r="53" spans="1:9" ht="15.95" customHeight="1">
      <c r="A53" s="553" t="s">
        <v>35</v>
      </c>
      <c r="B53" s="573" t="s">
        <v>7</v>
      </c>
      <c r="C53" s="574"/>
      <c r="D53" s="575"/>
      <c r="E53" s="581"/>
      <c r="F53" s="565" t="str">
        <f>IF($E$25="","",ROUND(E53/$E$25,1))</f>
        <v/>
      </c>
      <c r="H53" s="36"/>
    </row>
    <row r="54" spans="1:9" ht="15.95" customHeight="1">
      <c r="A54" s="554"/>
      <c r="B54" s="576"/>
      <c r="C54" s="577"/>
      <c r="D54" s="578"/>
      <c r="E54" s="598"/>
      <c r="F54" s="566"/>
      <c r="H54" s="36"/>
    </row>
    <row r="55" spans="1:9" ht="15.95" customHeight="1">
      <c r="A55" s="553" t="s">
        <v>36</v>
      </c>
      <c r="B55" s="573" t="s">
        <v>8</v>
      </c>
      <c r="C55" s="574"/>
      <c r="D55" s="575"/>
      <c r="E55" s="581"/>
      <c r="F55" s="565" t="str">
        <f>IF($E$25="","",ROUND(E55/$E$25,1))</f>
        <v/>
      </c>
      <c r="H55" s="36"/>
    </row>
    <row r="56" spans="1:9" ht="15.95" customHeight="1">
      <c r="A56" s="554"/>
      <c r="B56" s="576"/>
      <c r="C56" s="577"/>
      <c r="D56" s="578"/>
      <c r="E56" s="598"/>
      <c r="F56" s="566"/>
      <c r="H56" s="36"/>
    </row>
    <row r="57" spans="1:9" ht="15.95" customHeight="1">
      <c r="A57" s="553" t="s">
        <v>255</v>
      </c>
      <c r="B57" s="573" t="s">
        <v>9</v>
      </c>
      <c r="C57" s="574"/>
      <c r="D57" s="575"/>
      <c r="E57" s="581"/>
      <c r="F57" s="565" t="str">
        <f>IF($E$25="","",ROUND(E57/$E$25,1))</f>
        <v/>
      </c>
      <c r="H57" s="36"/>
    </row>
    <row r="58" spans="1:9" ht="15.95" customHeight="1" thickBot="1">
      <c r="A58" s="580"/>
      <c r="B58" s="583"/>
      <c r="C58" s="584"/>
      <c r="D58" s="585"/>
      <c r="E58" s="582"/>
      <c r="F58" s="599"/>
      <c r="H58" s="36"/>
    </row>
    <row r="59" spans="1:9" ht="15.95" customHeight="1" thickTop="1">
      <c r="A59" s="600" t="s">
        <v>40</v>
      </c>
      <c r="B59" s="602" t="s">
        <v>256</v>
      </c>
      <c r="C59" s="603"/>
      <c r="D59" s="604"/>
      <c r="E59" s="608">
        <f>SUM(E51:E58)</f>
        <v>0</v>
      </c>
      <c r="F59" s="610" t="str">
        <f>IF($E$25="","",ROUND(E59/$E$25,1))</f>
        <v/>
      </c>
      <c r="H59" s="36"/>
    </row>
    <row r="60" spans="1:9" ht="15.95" customHeight="1" thickBot="1">
      <c r="A60" s="601"/>
      <c r="B60" s="605" t="s">
        <v>47</v>
      </c>
      <c r="C60" s="606"/>
      <c r="D60" s="607"/>
      <c r="E60" s="609"/>
      <c r="F60" s="599"/>
      <c r="H60" s="36"/>
    </row>
    <row r="61" spans="1:9" ht="15.95" customHeight="1" thickTop="1">
      <c r="A61" s="55"/>
      <c r="B61" s="36"/>
      <c r="C61" s="37"/>
      <c r="D61" s="37"/>
      <c r="E61" s="38"/>
      <c r="F61" s="531"/>
      <c r="H61" s="36"/>
    </row>
    <row r="62" spans="1:9" ht="15.95" customHeight="1">
      <c r="A62" s="40"/>
      <c r="B62" s="49" t="s">
        <v>10</v>
      </c>
      <c r="C62" s="41"/>
      <c r="D62" s="41"/>
      <c r="E62" s="41"/>
      <c r="F62" s="42"/>
      <c r="H62" s="36"/>
    </row>
    <row r="63" spans="1:9" ht="15.95" customHeight="1">
      <c r="A63" s="553" t="s">
        <v>41</v>
      </c>
      <c r="B63" s="573" t="s">
        <v>163</v>
      </c>
      <c r="C63" s="574"/>
      <c r="D63" s="575"/>
      <c r="E63" s="581"/>
      <c r="F63" s="565" t="str">
        <f>IF($E$25="","",ROUND(E63/$E$25,1))</f>
        <v/>
      </c>
      <c r="H63" s="36"/>
    </row>
    <row r="64" spans="1:9" ht="15.95" customHeight="1">
      <c r="A64" s="554"/>
      <c r="B64" s="576"/>
      <c r="C64" s="577"/>
      <c r="D64" s="578"/>
      <c r="E64" s="598"/>
      <c r="F64" s="566"/>
      <c r="H64" s="36"/>
    </row>
    <row r="65" spans="1:11" ht="15.95" customHeight="1">
      <c r="A65" s="553" t="s">
        <v>42</v>
      </c>
      <c r="B65" s="573" t="s">
        <v>162</v>
      </c>
      <c r="C65" s="574"/>
      <c r="D65" s="575"/>
      <c r="E65" s="581"/>
      <c r="F65" s="565" t="str">
        <f>IF($E$25="","",ROUND(E65/$E$25,1))</f>
        <v/>
      </c>
    </row>
    <row r="66" spans="1:11" ht="15.95" customHeight="1" thickBot="1">
      <c r="A66" s="554"/>
      <c r="B66" s="576"/>
      <c r="C66" s="577"/>
      <c r="D66" s="578"/>
      <c r="E66" s="598"/>
      <c r="F66" s="599"/>
    </row>
    <row r="67" spans="1:11" ht="15.95" customHeight="1" thickTop="1">
      <c r="A67" s="611" t="s">
        <v>43</v>
      </c>
      <c r="B67" s="612" t="s">
        <v>257</v>
      </c>
      <c r="C67" s="613"/>
      <c r="D67" s="614"/>
      <c r="E67" s="608">
        <f>SUM(E63:E66)</f>
        <v>0</v>
      </c>
      <c r="F67" s="615" t="str">
        <f>IF($E$25="","",ROUND(E67/$E$25,1))</f>
        <v/>
      </c>
    </row>
    <row r="68" spans="1:11" ht="15.95" customHeight="1" thickBot="1">
      <c r="A68" s="601"/>
      <c r="B68" s="605" t="s">
        <v>51</v>
      </c>
      <c r="C68" s="606"/>
      <c r="D68" s="607"/>
      <c r="E68" s="609"/>
      <c r="F68" s="566"/>
    </row>
    <row r="69" spans="1:11" ht="15.95" customHeight="1" thickTop="1">
      <c r="A69" s="616" t="s">
        <v>44</v>
      </c>
      <c r="B69" s="588" t="s">
        <v>258</v>
      </c>
      <c r="C69" s="589"/>
      <c r="D69" s="590"/>
      <c r="E69" s="594">
        <f>E59-E67</f>
        <v>0</v>
      </c>
      <c r="F69" s="596" t="str">
        <f>IF(E25="","",ROUND(E69/$E$25,1))</f>
        <v/>
      </c>
    </row>
    <row r="70" spans="1:11" ht="15.95" customHeight="1" thickBot="1">
      <c r="A70" s="617"/>
      <c r="B70" s="591" t="s">
        <v>52</v>
      </c>
      <c r="C70" s="592"/>
      <c r="D70" s="593"/>
      <c r="E70" s="595"/>
      <c r="F70" s="597"/>
    </row>
    <row r="71" spans="1:11" ht="15.95" customHeight="1" thickTop="1">
      <c r="A71" s="51"/>
      <c r="B71" s="38"/>
      <c r="C71" s="38"/>
      <c r="D71" s="46"/>
      <c r="E71" s="52"/>
      <c r="F71" s="46"/>
    </row>
    <row r="72" spans="1:11" ht="15.95" customHeight="1">
      <c r="A72" s="53"/>
      <c r="B72" s="41"/>
      <c r="C72" s="41"/>
      <c r="D72" s="33"/>
      <c r="E72" s="33"/>
      <c r="F72" s="33"/>
    </row>
    <row r="73" spans="1:11" ht="15.95" customHeight="1">
      <c r="A73" s="47"/>
      <c r="B73" s="30" t="s">
        <v>6</v>
      </c>
      <c r="C73" s="18"/>
      <c r="D73" s="19"/>
      <c r="E73" s="31" t="s">
        <v>38</v>
      </c>
      <c r="F73" s="31" t="s">
        <v>31</v>
      </c>
    </row>
    <row r="74" spans="1:11" ht="15.95" customHeight="1">
      <c r="A74" s="54"/>
      <c r="B74" s="32"/>
      <c r="C74" s="33"/>
      <c r="D74" s="16"/>
      <c r="E74" s="34" t="s">
        <v>39</v>
      </c>
      <c r="F74" s="34" t="s">
        <v>210</v>
      </c>
    </row>
    <row r="75" spans="1:11" ht="15.95" customHeight="1">
      <c r="A75" s="35"/>
      <c r="B75" s="36"/>
      <c r="C75" s="37"/>
      <c r="D75" s="37"/>
      <c r="E75" s="38"/>
      <c r="F75" s="39"/>
      <c r="H75" s="638"/>
      <c r="J75" s="637"/>
      <c r="K75" s="637"/>
    </row>
    <row r="76" spans="1:11" ht="15.95" customHeight="1">
      <c r="A76" s="40"/>
      <c r="B76" s="49" t="s">
        <v>164</v>
      </c>
      <c r="C76" s="41"/>
      <c r="D76" s="41"/>
      <c r="E76" s="41"/>
      <c r="F76" s="42"/>
      <c r="H76" s="638"/>
      <c r="J76" s="637"/>
      <c r="K76" s="637"/>
    </row>
    <row r="77" spans="1:11" ht="15.95" customHeight="1">
      <c r="A77" s="553" t="s">
        <v>45</v>
      </c>
      <c r="B77" s="618" t="s">
        <v>147</v>
      </c>
      <c r="C77" s="619"/>
      <c r="D77" s="620"/>
      <c r="E77" s="581"/>
      <c r="F77" s="565" t="str">
        <f>IF($E$25="","",ROUND(E77/$E$25,1))</f>
        <v/>
      </c>
      <c r="H77" s="639"/>
      <c r="J77" s="637"/>
      <c r="K77" s="637"/>
    </row>
    <row r="78" spans="1:11" ht="15.95" customHeight="1">
      <c r="A78" s="554"/>
      <c r="B78" s="621" t="s">
        <v>54</v>
      </c>
      <c r="C78" s="622"/>
      <c r="D78" s="623"/>
      <c r="E78" s="598"/>
      <c r="F78" s="566"/>
      <c r="H78" s="639"/>
      <c r="J78" s="637"/>
      <c r="K78" s="637"/>
    </row>
    <row r="79" spans="1:11" ht="15.95" customHeight="1">
      <c r="A79" s="553" t="s">
        <v>46</v>
      </c>
      <c r="B79" s="573" t="s">
        <v>102</v>
      </c>
      <c r="C79" s="574"/>
      <c r="D79" s="575"/>
      <c r="E79" s="581"/>
      <c r="F79" s="565" t="str">
        <f>IF($E$25="","",ROUND(E79/$E$25,1))</f>
        <v/>
      </c>
    </row>
    <row r="80" spans="1:11" ht="15.95" customHeight="1">
      <c r="A80" s="554"/>
      <c r="B80" s="576"/>
      <c r="C80" s="577"/>
      <c r="D80" s="578"/>
      <c r="E80" s="598"/>
      <c r="F80" s="566"/>
    </row>
    <row r="81" spans="1:8" ht="15.95" customHeight="1">
      <c r="A81" s="553" t="s">
        <v>48</v>
      </c>
      <c r="B81" s="573" t="s">
        <v>268</v>
      </c>
      <c r="C81" s="574"/>
      <c r="D81" s="575"/>
      <c r="E81" s="581"/>
      <c r="F81" s="565" t="str">
        <f>IF($E$25="","",ROUND(E81/$E$25,1))</f>
        <v/>
      </c>
    </row>
    <row r="82" spans="1:8" ht="15.95" customHeight="1">
      <c r="A82" s="554"/>
      <c r="B82" s="576"/>
      <c r="C82" s="577"/>
      <c r="D82" s="578"/>
      <c r="E82" s="598"/>
      <c r="F82" s="566"/>
    </row>
    <row r="83" spans="1:8" ht="15.95" customHeight="1">
      <c r="A83" s="553" t="s">
        <v>49</v>
      </c>
      <c r="B83" s="573" t="s">
        <v>11</v>
      </c>
      <c r="C83" s="574"/>
      <c r="D83" s="575"/>
      <c r="E83" s="581"/>
      <c r="F83" s="565" t="str">
        <f>IF($E$25="","",ROUND(E83/$E$25,1))</f>
        <v/>
      </c>
    </row>
    <row r="84" spans="1:8" ht="15.95" customHeight="1">
      <c r="A84" s="554"/>
      <c r="B84" s="576"/>
      <c r="C84" s="577"/>
      <c r="D84" s="578"/>
      <c r="E84" s="598"/>
      <c r="F84" s="566"/>
    </row>
    <row r="85" spans="1:8" ht="15.95" customHeight="1">
      <c r="A85" s="553" t="s">
        <v>50</v>
      </c>
      <c r="B85" s="573" t="s">
        <v>103</v>
      </c>
      <c r="C85" s="574"/>
      <c r="D85" s="575"/>
      <c r="E85" s="581"/>
      <c r="F85" s="565" t="str">
        <f>IF($E$25="","",ROUND(E85/$E$25,1))</f>
        <v/>
      </c>
    </row>
    <row r="86" spans="1:8" ht="15.95" customHeight="1">
      <c r="A86" s="554"/>
      <c r="B86" s="576"/>
      <c r="C86" s="577"/>
      <c r="D86" s="578"/>
      <c r="E86" s="598"/>
      <c r="F86" s="566"/>
    </row>
    <row r="87" spans="1:8" ht="15.95" customHeight="1">
      <c r="A87" s="553" t="s">
        <v>229</v>
      </c>
      <c r="B87" s="573" t="s">
        <v>59</v>
      </c>
      <c r="C87" s="574"/>
      <c r="D87" s="575"/>
      <c r="E87" s="624">
        <f>Anlagenverzeichnis!F25</f>
        <v>0</v>
      </c>
      <c r="F87" s="565" t="str">
        <f>IF($E$25="","",ROUND(E87/$E$25,1))</f>
        <v/>
      </c>
    </row>
    <row r="88" spans="1:8" ht="15.95" customHeight="1">
      <c r="A88" s="554"/>
      <c r="B88" s="576"/>
      <c r="C88" s="577"/>
      <c r="D88" s="578"/>
      <c r="E88" s="625"/>
      <c r="F88" s="566"/>
    </row>
    <row r="89" spans="1:8" ht="15.95" customHeight="1">
      <c r="A89" s="641" t="s">
        <v>230</v>
      </c>
      <c r="B89" s="618" t="s">
        <v>265</v>
      </c>
      <c r="C89" s="619"/>
      <c r="D89" s="620"/>
      <c r="E89" s="581"/>
      <c r="F89" s="565" t="str">
        <f>IF($E$25="","",ROUND(E89/$E$25,1))</f>
        <v/>
      </c>
      <c r="H89" s="22"/>
    </row>
    <row r="90" spans="1:8" ht="15.95" customHeight="1" thickBot="1">
      <c r="A90" s="642"/>
      <c r="B90" s="643" t="s">
        <v>60</v>
      </c>
      <c r="C90" s="644"/>
      <c r="D90" s="645"/>
      <c r="E90" s="582"/>
      <c r="F90" s="599"/>
    </row>
    <row r="91" spans="1:8" ht="15.95" customHeight="1" thickTop="1">
      <c r="A91" s="611" t="s">
        <v>231</v>
      </c>
      <c r="B91" s="602" t="s">
        <v>259</v>
      </c>
      <c r="C91" s="603"/>
      <c r="D91" s="604"/>
      <c r="E91" s="608">
        <f>SUM(E77:E90)</f>
        <v>0</v>
      </c>
      <c r="F91" s="610" t="str">
        <f>IF($E$25="","",ROUND(E91/$E$25,1))</f>
        <v/>
      </c>
    </row>
    <row r="92" spans="1:8" ht="15.95" customHeight="1" thickBot="1">
      <c r="A92" s="601"/>
      <c r="B92" s="605" t="s">
        <v>61</v>
      </c>
      <c r="C92" s="606"/>
      <c r="D92" s="607"/>
      <c r="E92" s="609"/>
      <c r="F92" s="599"/>
    </row>
    <row r="93" spans="1:8" ht="15.95" customHeight="1" thickTop="1">
      <c r="A93" s="55"/>
      <c r="B93" s="36"/>
      <c r="C93" s="37"/>
      <c r="D93" s="37"/>
      <c r="E93" s="38"/>
      <c r="F93" s="531"/>
    </row>
    <row r="94" spans="1:8" ht="15.95" customHeight="1">
      <c r="A94" s="40"/>
      <c r="B94" s="49" t="s">
        <v>12</v>
      </c>
      <c r="C94" s="41"/>
      <c r="D94" s="41"/>
      <c r="E94" s="41"/>
      <c r="F94" s="42"/>
    </row>
    <row r="95" spans="1:8" ht="15.95" customHeight="1">
      <c r="A95" s="553" t="s">
        <v>232</v>
      </c>
      <c r="B95" s="573" t="s">
        <v>13</v>
      </c>
      <c r="C95" s="574"/>
      <c r="D95" s="575"/>
      <c r="E95" s="581"/>
      <c r="F95" s="565" t="str">
        <f>IF($E$25="","",ROUND(E95/$E$25,1))</f>
        <v/>
      </c>
    </row>
    <row r="96" spans="1:8" ht="15.95" customHeight="1">
      <c r="A96" s="554"/>
      <c r="B96" s="576"/>
      <c r="C96" s="577"/>
      <c r="D96" s="578"/>
      <c r="E96" s="598"/>
      <c r="F96" s="566"/>
    </row>
    <row r="97" spans="1:6" ht="15.95" customHeight="1">
      <c r="A97" s="641" t="s">
        <v>233</v>
      </c>
      <c r="B97" s="573" t="s">
        <v>14</v>
      </c>
      <c r="C97" s="574"/>
      <c r="D97" s="575"/>
      <c r="E97" s="581"/>
      <c r="F97" s="565" t="str">
        <f>IF($E$25="","",ROUND(E97/$E$25,1))</f>
        <v/>
      </c>
    </row>
    <row r="98" spans="1:6" ht="15.95" customHeight="1" thickBot="1">
      <c r="A98" s="642"/>
      <c r="B98" s="583"/>
      <c r="C98" s="584"/>
      <c r="D98" s="585"/>
      <c r="E98" s="582"/>
      <c r="F98" s="599"/>
    </row>
    <row r="99" spans="1:6" ht="15.95" customHeight="1" thickTop="1">
      <c r="A99" s="600" t="s">
        <v>53</v>
      </c>
      <c r="B99" s="612" t="s">
        <v>261</v>
      </c>
      <c r="C99" s="613"/>
      <c r="D99" s="614"/>
      <c r="E99" s="608">
        <f>E97+E95</f>
        <v>0</v>
      </c>
      <c r="F99" s="610" t="str">
        <f>IF($E$25="","",ROUND(E99/$E$25,1))</f>
        <v/>
      </c>
    </row>
    <row r="100" spans="1:6" ht="15.95" customHeight="1" thickBot="1">
      <c r="A100" s="601"/>
      <c r="B100" s="605" t="s">
        <v>62</v>
      </c>
      <c r="C100" s="606"/>
      <c r="D100" s="607"/>
      <c r="E100" s="609"/>
      <c r="F100" s="599"/>
    </row>
    <row r="101" spans="1:6" ht="15.95" customHeight="1" thickTop="1">
      <c r="A101" s="628" t="s">
        <v>55</v>
      </c>
      <c r="B101" s="629" t="s">
        <v>262</v>
      </c>
      <c r="C101" s="630"/>
      <c r="D101" s="631"/>
      <c r="E101" s="632">
        <f>E91-E99</f>
        <v>0</v>
      </c>
      <c r="F101" s="627" t="str">
        <f>IF(E25="","",IF($H$77&gt;0,H77,ROUND(E101/$E$25,1)))</f>
        <v/>
      </c>
    </row>
    <row r="102" spans="1:6" ht="15.95" customHeight="1" thickBot="1">
      <c r="A102" s="617"/>
      <c r="B102" s="591" t="s">
        <v>63</v>
      </c>
      <c r="C102" s="592"/>
      <c r="D102" s="593"/>
      <c r="E102" s="595"/>
      <c r="F102" s="597"/>
    </row>
    <row r="103" spans="1:6" ht="15.95" customHeight="1" thickTop="1" thickBot="1">
      <c r="A103" s="306"/>
      <c r="B103" s="307"/>
      <c r="C103" s="307"/>
      <c r="D103" s="307"/>
      <c r="E103" s="308"/>
      <c r="F103" s="309"/>
    </row>
    <row r="104" spans="1:6" ht="15.95" customHeight="1" thickTop="1">
      <c r="A104" s="611" t="s">
        <v>56</v>
      </c>
      <c r="B104" s="602" t="s">
        <v>263</v>
      </c>
      <c r="C104" s="603"/>
      <c r="D104" s="604"/>
      <c r="E104" s="633">
        <f>E43</f>
        <v>0</v>
      </c>
      <c r="F104" s="610" t="str">
        <f>IF($E$25="","",ROUND(E104/$E$25,1))</f>
        <v/>
      </c>
    </row>
    <row r="105" spans="1:6" ht="15.95" customHeight="1" thickBot="1">
      <c r="A105" s="601"/>
      <c r="B105" s="605"/>
      <c r="C105" s="606"/>
      <c r="D105" s="607"/>
      <c r="E105" s="634"/>
      <c r="F105" s="599"/>
    </row>
    <row r="106" spans="1:6" ht="15.75" customHeight="1" thickTop="1">
      <c r="A106" s="611" t="s">
        <v>57</v>
      </c>
      <c r="B106" s="602" t="s">
        <v>264</v>
      </c>
      <c r="C106" s="603"/>
      <c r="D106" s="604"/>
      <c r="E106" s="640">
        <f>IF(I49&gt;0,E43*I49,E69+E101)</f>
        <v>0</v>
      </c>
      <c r="F106" s="615" t="str">
        <f>IF($E$25="","",ROUND(E106/$E$25,1))</f>
        <v/>
      </c>
    </row>
    <row r="107" spans="1:6" ht="15.95" customHeight="1" thickBot="1">
      <c r="A107" s="601"/>
      <c r="B107" s="605" t="s">
        <v>64</v>
      </c>
      <c r="C107" s="606"/>
      <c r="D107" s="607"/>
      <c r="E107" s="609"/>
      <c r="F107" s="566"/>
    </row>
    <row r="108" spans="1:6" ht="15.95" customHeight="1" thickTop="1" thickBot="1">
      <c r="A108" s="310"/>
      <c r="B108" s="311"/>
      <c r="C108" s="312"/>
      <c r="D108" s="312"/>
      <c r="E108" s="312"/>
      <c r="F108" s="312"/>
    </row>
    <row r="109" spans="1:6" ht="15.95" customHeight="1" thickTop="1">
      <c r="A109" s="616" t="s">
        <v>58</v>
      </c>
      <c r="B109" s="588" t="str">
        <f>"Kalkulatorischer Aufwand "&amp;TEXT(Kalkulationsblatt!E23,"")&amp;"
(39) zuzüglich (40)"</f>
        <v>Kalkulatorischer Aufwand 
(39) zuzüglich (40)</v>
      </c>
      <c r="C109" s="589"/>
      <c r="D109" s="590"/>
      <c r="E109" s="626">
        <f>E43+E106</f>
        <v>0</v>
      </c>
      <c r="F109" s="627" t="str">
        <f>IF(E25="","",ROUND(E109/$E$25,1))</f>
        <v/>
      </c>
    </row>
    <row r="110" spans="1:6" ht="15.95" customHeight="1" thickBot="1">
      <c r="A110" s="617"/>
      <c r="B110" s="591" t="s">
        <v>65</v>
      </c>
      <c r="C110" s="592"/>
      <c r="D110" s="593"/>
      <c r="E110" s="595"/>
      <c r="F110" s="597"/>
    </row>
    <row r="111" spans="1:6" ht="15.95" customHeight="1" thickTop="1">
      <c r="A111" s="56"/>
      <c r="B111" s="36"/>
      <c r="C111" s="36"/>
      <c r="D111" s="36"/>
      <c r="E111" s="36"/>
      <c r="F111" s="36"/>
    </row>
    <row r="112" spans="1:6" ht="15.95" customHeight="1">
      <c r="A112" s="56"/>
      <c r="B112" s="36"/>
      <c r="C112" s="36"/>
      <c r="D112" s="36"/>
      <c r="E112" s="36"/>
      <c r="F112" s="36"/>
    </row>
    <row r="113" spans="1:6" ht="15.95" customHeight="1">
      <c r="A113" s="56"/>
      <c r="B113" s="305" t="s">
        <v>66</v>
      </c>
      <c r="C113" s="36"/>
      <c r="D113" s="36"/>
      <c r="E113" s="57"/>
      <c r="F113" s="36"/>
    </row>
    <row r="114" spans="1:6" ht="15.95" customHeight="1">
      <c r="A114" s="56"/>
      <c r="B114" s="36"/>
      <c r="C114" s="36"/>
      <c r="D114" s="36"/>
      <c r="E114" s="36"/>
      <c r="F114" s="49"/>
    </row>
    <row r="115" spans="1:6" ht="15.95" customHeight="1">
      <c r="A115" s="56"/>
      <c r="B115" s="36"/>
      <c r="C115" s="36"/>
      <c r="D115" s="36"/>
      <c r="E115" s="36"/>
      <c r="F115" s="36"/>
    </row>
    <row r="116" spans="1:6" ht="15.95" customHeight="1">
      <c r="A116" s="56"/>
      <c r="B116" s="33"/>
      <c r="C116" s="33"/>
      <c r="D116" s="33"/>
      <c r="E116" s="36"/>
      <c r="F116" s="36"/>
    </row>
    <row r="117" spans="1:6" ht="15.95" customHeight="1">
      <c r="A117" s="56"/>
      <c r="B117" s="58" t="s">
        <v>67</v>
      </c>
      <c r="C117" s="36"/>
      <c r="D117" s="36"/>
      <c r="E117" s="36"/>
      <c r="F117" s="58"/>
    </row>
    <row r="118" spans="1:6" ht="15.95" customHeight="1">
      <c r="A118" s="21"/>
      <c r="B118" s="22"/>
      <c r="C118" s="22"/>
      <c r="D118" s="22"/>
      <c r="E118" s="22"/>
      <c r="F118" s="22"/>
    </row>
    <row r="119" spans="1:6">
      <c r="A119" s="21"/>
      <c r="B119" s="22"/>
      <c r="C119" s="22"/>
      <c r="D119" s="22"/>
      <c r="E119" s="22"/>
      <c r="F119" s="22"/>
    </row>
  </sheetData>
  <sheetProtection algorithmName="SHA-512" hashValue="n5as/BAmn3Eq7onskSfRZkClwopqk4u1kD5TNYavA8YOFX1eI+/0kn9kLHlek0n+NZKNfYrb5/bwmN0j7GtowQ==" saltValue="3A7uTjfcess86sGcsLrK5w==" spinCount="100000" sheet="1" objects="1" scenarios="1"/>
  <mergeCells count="154">
    <mergeCell ref="H49:H50"/>
    <mergeCell ref="I49:I50"/>
    <mergeCell ref="J75:K78"/>
    <mergeCell ref="H75:H76"/>
    <mergeCell ref="H77:H78"/>
    <mergeCell ref="A106:A107"/>
    <mergeCell ref="B106:D107"/>
    <mergeCell ref="E106:E107"/>
    <mergeCell ref="F106:F107"/>
    <mergeCell ref="A95:A96"/>
    <mergeCell ref="B95:D96"/>
    <mergeCell ref="E95:E96"/>
    <mergeCell ref="F95:F96"/>
    <mergeCell ref="A97:A98"/>
    <mergeCell ref="B97:D98"/>
    <mergeCell ref="E97:E98"/>
    <mergeCell ref="F97:F98"/>
    <mergeCell ref="A89:A90"/>
    <mergeCell ref="B89:D90"/>
    <mergeCell ref="E89:E90"/>
    <mergeCell ref="F89:F90"/>
    <mergeCell ref="A91:A92"/>
    <mergeCell ref="B91:D92"/>
    <mergeCell ref="E91:E92"/>
    <mergeCell ref="A109:A110"/>
    <mergeCell ref="B109:D110"/>
    <mergeCell ref="E109:E110"/>
    <mergeCell ref="F109:F110"/>
    <mergeCell ref="A99:A100"/>
    <mergeCell ref="B99:D100"/>
    <mergeCell ref="E99:E100"/>
    <mergeCell ref="F99:F100"/>
    <mergeCell ref="A101:A102"/>
    <mergeCell ref="B101:D102"/>
    <mergeCell ref="E101:E102"/>
    <mergeCell ref="F101:F102"/>
    <mergeCell ref="A104:A105"/>
    <mergeCell ref="E104:E105"/>
    <mergeCell ref="F104:F105"/>
    <mergeCell ref="B104:D105"/>
    <mergeCell ref="F91:F92"/>
    <mergeCell ref="A87:A88"/>
    <mergeCell ref="B87:D88"/>
    <mergeCell ref="E87:E88"/>
    <mergeCell ref="F87:F88"/>
    <mergeCell ref="A81:A82"/>
    <mergeCell ref="B81:D82"/>
    <mergeCell ref="E81:E82"/>
    <mergeCell ref="F81:F82"/>
    <mergeCell ref="A83:A84"/>
    <mergeCell ref="B83:D84"/>
    <mergeCell ref="E83:E84"/>
    <mergeCell ref="F83:F84"/>
    <mergeCell ref="A79:A80"/>
    <mergeCell ref="B79:D80"/>
    <mergeCell ref="E79:E80"/>
    <mergeCell ref="F79:F80"/>
    <mergeCell ref="B69:D70"/>
    <mergeCell ref="E69:E70"/>
    <mergeCell ref="F69:F70"/>
    <mergeCell ref="A85:A86"/>
    <mergeCell ref="B85:D86"/>
    <mergeCell ref="E85:E86"/>
    <mergeCell ref="F85:F86"/>
    <mergeCell ref="A67:A68"/>
    <mergeCell ref="B67:D68"/>
    <mergeCell ref="E67:E68"/>
    <mergeCell ref="F67:F68"/>
    <mergeCell ref="A69:A70"/>
    <mergeCell ref="A77:A78"/>
    <mergeCell ref="B77:D78"/>
    <mergeCell ref="E77:E78"/>
    <mergeCell ref="F77:F78"/>
    <mergeCell ref="A63:A64"/>
    <mergeCell ref="B63:D64"/>
    <mergeCell ref="E63:E64"/>
    <mergeCell ref="F63:F64"/>
    <mergeCell ref="A65:A66"/>
    <mergeCell ref="B65:D66"/>
    <mergeCell ref="E65:E66"/>
    <mergeCell ref="F65:F66"/>
    <mergeCell ref="A57:A58"/>
    <mergeCell ref="B57:D58"/>
    <mergeCell ref="E57:E58"/>
    <mergeCell ref="F57:F58"/>
    <mergeCell ref="A59:A60"/>
    <mergeCell ref="B59:D60"/>
    <mergeCell ref="E59:E60"/>
    <mergeCell ref="F59:F60"/>
    <mergeCell ref="A43:A44"/>
    <mergeCell ref="B43:D44"/>
    <mergeCell ref="E43:E44"/>
    <mergeCell ref="F43:F44"/>
    <mergeCell ref="F37:F38"/>
    <mergeCell ref="F39:F40"/>
    <mergeCell ref="A55:A56"/>
    <mergeCell ref="B55:D56"/>
    <mergeCell ref="E55:E56"/>
    <mergeCell ref="F55:F56"/>
    <mergeCell ref="A51:A52"/>
    <mergeCell ref="B51:D52"/>
    <mergeCell ref="E51:E52"/>
    <mergeCell ref="F51:F52"/>
    <mergeCell ref="A53:A54"/>
    <mergeCell ref="B53:D54"/>
    <mergeCell ref="E53:E54"/>
    <mergeCell ref="F53:F54"/>
    <mergeCell ref="B35:D36"/>
    <mergeCell ref="H41:H42"/>
    <mergeCell ref="A37:A38"/>
    <mergeCell ref="A39:A40"/>
    <mergeCell ref="A41:A42"/>
    <mergeCell ref="E41:E42"/>
    <mergeCell ref="B41:D42"/>
    <mergeCell ref="F41:F42"/>
    <mergeCell ref="B37:D38"/>
    <mergeCell ref="E37:E38"/>
    <mergeCell ref="E39:E40"/>
    <mergeCell ref="B39:D40"/>
    <mergeCell ref="B34:D34"/>
    <mergeCell ref="A1:F1"/>
    <mergeCell ref="A2:F2"/>
    <mergeCell ref="E18:F18"/>
    <mergeCell ref="B18:C18"/>
    <mergeCell ref="I41:I42"/>
    <mergeCell ref="A35:A36"/>
    <mergeCell ref="E35:E36"/>
    <mergeCell ref="C4:F4"/>
    <mergeCell ref="C5:F5"/>
    <mergeCell ref="C8:F8"/>
    <mergeCell ref="B19:C19"/>
    <mergeCell ref="E19:F19"/>
    <mergeCell ref="B21:C21"/>
    <mergeCell ref="E21:F21"/>
    <mergeCell ref="F35:F36"/>
    <mergeCell ref="B23:C23"/>
    <mergeCell ref="B25:C25"/>
    <mergeCell ref="C12:F12"/>
    <mergeCell ref="C13:F13"/>
    <mergeCell ref="C17:F17"/>
    <mergeCell ref="D6:F6"/>
    <mergeCell ref="C7:F7"/>
    <mergeCell ref="D14:F14"/>
    <mergeCell ref="C15:F15"/>
    <mergeCell ref="C16:F16"/>
    <mergeCell ref="C9:F9"/>
    <mergeCell ref="C10:F10"/>
    <mergeCell ref="B27:C27"/>
    <mergeCell ref="E23:F23"/>
    <mergeCell ref="E25:F25"/>
    <mergeCell ref="E24:F24"/>
    <mergeCell ref="E22:F22"/>
    <mergeCell ref="B24:C24"/>
    <mergeCell ref="B26:C26"/>
  </mergeCells>
  <conditionalFormatting sqref="C4:F10 C12:F17 B19:C19 E19:F19 B21:C21 E21:F21 B25:C25 E23:F23 B27:C27 E41:E42 E51:E58 E63:E66 E77:E86 E89:E90 E95:E98 B113">
    <cfRule type="expression" dxfId="50" priority="13">
      <formula>"E23=""Teilhabe an Bildung"""</formula>
    </cfRule>
  </conditionalFormatting>
  <conditionalFormatting sqref="E21:F21">
    <cfRule type="expression" dxfId="49" priority="12">
      <formula>$E$23="Teilhabe an Bildung"</formula>
    </cfRule>
  </conditionalFormatting>
  <conditionalFormatting sqref="H22 C4:F10 C12:F17 B19:C19 E19:F19 B21:C21 E23:F23 B25:C25 B27:C27 E41:E42 E51:E58 E63:E66 E77:E86 E89:E90 E95:E98 B113">
    <cfRule type="expression" priority="11">
      <formula>$E$23="Teilhabe an Bildung"</formula>
    </cfRule>
  </conditionalFormatting>
  <conditionalFormatting sqref="C4:F10">
    <cfRule type="expression" dxfId="48" priority="10">
      <formula>$E$23="Teilhabe an Bildung"</formula>
    </cfRule>
  </conditionalFormatting>
  <conditionalFormatting sqref="C12:F17">
    <cfRule type="expression" dxfId="47" priority="8">
      <formula>$E$23="Teilhabe an Bildung"</formula>
    </cfRule>
    <cfRule type="expression" priority="9">
      <formula>$E$23="Teilhabe an Bildung"</formula>
    </cfRule>
  </conditionalFormatting>
  <conditionalFormatting sqref="B19:C19 E19:F19 B21:C21 B25:C25 B27:C27">
    <cfRule type="expression" dxfId="46" priority="7">
      <formula>$E$23="Teilhabe an Bildung"</formula>
    </cfRule>
  </conditionalFormatting>
  <conditionalFormatting sqref="E23:F23">
    <cfRule type="expression" dxfId="45" priority="6">
      <formula>$E$23="Teilhabe an Bildung"</formula>
    </cfRule>
  </conditionalFormatting>
  <conditionalFormatting sqref="E41:E42 E51:E58 E63:E66 E77:E86 E89:E90 E95:E98 B113">
    <cfRule type="expression" dxfId="44" priority="5">
      <formula>$E$23="Teilhabe an Bildung"</formula>
    </cfRule>
  </conditionalFormatting>
  <conditionalFormatting sqref="C4:F10 C12:F17 B19:C19 E19:F19 E21:F21 B21:C21 E23:F23 B25:C25 B27:C27 E41:E42 E51:E58 E63:E66 E77:E86 E89:E90 E95:E98 B113">
    <cfRule type="expression" dxfId="43" priority="4">
      <formula>$E$23="sonstige Kräfte"</formula>
    </cfRule>
  </conditionalFormatting>
  <conditionalFormatting sqref="I49:I50">
    <cfRule type="expression" dxfId="42" priority="3">
      <formula>$E$23="sonstige Kräfte"</formula>
    </cfRule>
  </conditionalFormatting>
  <conditionalFormatting sqref="E51:F68 E77:F92 E95:F100">
    <cfRule type="expression" dxfId="41" priority="2">
      <formula>$I$49&gt;0</formula>
    </cfRule>
  </conditionalFormatting>
  <conditionalFormatting sqref="E69:F70 E101:F102">
    <cfRule type="expression" dxfId="40" priority="1">
      <formula>$I$49&gt;0</formula>
    </cfRule>
  </conditionalFormatting>
  <dataValidations count="1">
    <dataValidation type="list" allowBlank="1" showInputMessage="1" showErrorMessage="1" sqref="E23:F23" xr:uid="{664643A2-C1CD-4C6A-8672-3B0EAA1FEED4}">
      <formula1>"Fachkräfte, sonstige Kräfte"</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oddFooter xml:space="preserve">&amp;L&amp;"Arial,Standard"&amp;8Datum des Ausdrucks
&amp;D&amp;C&amp;"Arial,Standard"&amp;8Kalkulationsdatei (Version 1.0) 
Assistenzleistungen und Teilhabe an Bildung&amp;R&amp;"Arial,Standard"&amp;8Seite &amp;P von &amp;N </oddFooter>
  </headerFooter>
  <rowBreaks count="1" manualBreakCount="1">
    <brk id="71" max="16383" man="1"/>
  </rowBreaks>
  <ignoredErrors>
    <ignoredError sqref="A107:A108 A102 A68 A71 A110:A111 A58 A60:A62 A64 A66 A5:A6 A8 A13 A21 A17:A20 A23 A25 A27:A34 A36 A38 A40 A42 A44:A45 A52 A54 A56 A78 A80 A82 A84 A86 A88 A90 A92:A94 A96 A98 A100 A112:A1048576 A46:A50 A72:A76"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T35"/>
  <sheetViews>
    <sheetView showGridLines="0" zoomScaleNormal="100" workbookViewId="0">
      <pane ySplit="7" topLeftCell="A8" activePane="bottomLeft" state="frozen"/>
      <selection pane="bottomLeft" activeCell="F27" sqref="F27"/>
    </sheetView>
  </sheetViews>
  <sheetFormatPr baseColWidth="10" defaultColWidth="11.42578125" defaultRowHeight="15"/>
  <cols>
    <col min="1" max="1" width="4.5703125" style="1" customWidth="1"/>
    <col min="2" max="2" width="3.5703125" style="1" hidden="1" customWidth="1"/>
    <col min="3" max="3" width="35.7109375" style="1" customWidth="1"/>
    <col min="4" max="5" width="5.7109375" style="1" customWidth="1"/>
    <col min="6" max="6" width="7.140625" style="59" customWidth="1"/>
    <col min="7" max="8" width="15.42578125" style="60" customWidth="1"/>
    <col min="9" max="9" width="16.5703125" style="60" customWidth="1"/>
    <col min="10" max="10" width="17.7109375" style="1" customWidth="1"/>
    <col min="11" max="11" width="13" style="1" bestFit="1" customWidth="1"/>
    <col min="12" max="12" width="11.42578125" style="1"/>
    <col min="13" max="13" width="7" style="1" customWidth="1"/>
    <col min="14" max="14" width="11.28515625" style="1" customWidth="1"/>
    <col min="15" max="15" width="11.42578125" style="269"/>
    <col min="16" max="16384" width="11.42578125" style="1"/>
  </cols>
  <sheetData>
    <row r="1" spans="1:18" ht="17.649999999999999" customHeight="1">
      <c r="C1" s="647" t="str">
        <f>"Kalkulation "&amp;TEXT(Kalkulationsblatt!E23,"")&amp;" "&amp;TEXT(Kalkulationsblatt!C4,"")&amp;" für den Zeitraum von "&amp;TEXT(Kalkulationsblatt!B21,"TT. MMMM JJJJ")&amp;" bis zum "&amp;TEXT(Kalkulationsblatt!E21,"TT. MMMM JJJJ")&amp;""</f>
        <v>Kalkulation   für den Zeitraum von 00. Januar 1900 bis zum 00. Januar 1900</v>
      </c>
      <c r="D1" s="647"/>
      <c r="E1" s="647"/>
      <c r="F1" s="647"/>
      <c r="G1" s="647"/>
      <c r="H1" s="647"/>
      <c r="I1" s="647"/>
      <c r="J1" s="647"/>
      <c r="K1" s="647"/>
    </row>
    <row r="2" spans="1:18" ht="27.6" customHeight="1">
      <c r="B2" s="147"/>
      <c r="C2" s="646" t="str">
        <f>"Prospektive Personalkostenkalkulation "&amp;TEXT(Kalkulationsblatt!E23,"")&amp;""</f>
        <v xml:space="preserve">Prospektive Personalkostenkalkulation </v>
      </c>
      <c r="D2" s="646"/>
      <c r="E2" s="646"/>
      <c r="F2" s="646"/>
      <c r="G2" s="646"/>
      <c r="H2" s="646"/>
      <c r="I2" s="646"/>
      <c r="J2" s="646"/>
      <c r="K2" s="646"/>
    </row>
    <row r="3" spans="1:18" ht="9.75" customHeight="1"/>
    <row r="4" spans="1:18" ht="17.25" customHeight="1">
      <c r="C4" s="1" t="s">
        <v>77</v>
      </c>
      <c r="F4" s="359">
        <f>Kalkulationsblatt!B27</f>
        <v>0</v>
      </c>
      <c r="G4" s="69" t="s">
        <v>92</v>
      </c>
      <c r="H4" s="69"/>
    </row>
    <row r="5" spans="1:18" ht="9.75" customHeight="1"/>
    <row r="6" spans="1:18" s="61" customFormat="1" ht="24" customHeight="1">
      <c r="C6" s="653" t="s">
        <v>74</v>
      </c>
      <c r="D6" s="299"/>
      <c r="E6" s="299"/>
      <c r="F6" s="650" t="s">
        <v>270</v>
      </c>
      <c r="G6" s="654" t="s">
        <v>149</v>
      </c>
      <c r="H6" s="648" t="s">
        <v>245</v>
      </c>
      <c r="I6" s="648" t="s">
        <v>150</v>
      </c>
      <c r="J6" s="653" t="s">
        <v>220</v>
      </c>
      <c r="K6" s="656" t="s">
        <v>111</v>
      </c>
      <c r="L6" s="658" t="s">
        <v>4</v>
      </c>
      <c r="M6" s="513"/>
      <c r="N6" s="513"/>
      <c r="O6" s="271"/>
    </row>
    <row r="7" spans="1:18" ht="22.5" customHeight="1">
      <c r="C7" s="653"/>
      <c r="D7" s="300"/>
      <c r="E7" s="300"/>
      <c r="F7" s="651"/>
      <c r="G7" s="654"/>
      <c r="H7" s="655"/>
      <c r="I7" s="649"/>
      <c r="J7" s="653"/>
      <c r="K7" s="657"/>
      <c r="L7" s="659"/>
      <c r="M7" s="652"/>
      <c r="N7" s="652"/>
    </row>
    <row r="8" spans="1:18" s="5" customFormat="1" ht="20.100000000000001" customHeight="1">
      <c r="C8" s="4"/>
      <c r="D8" s="4"/>
      <c r="E8" s="4"/>
      <c r="F8" s="521"/>
      <c r="G8" s="63"/>
      <c r="H8" s="63"/>
      <c r="I8" s="63"/>
      <c r="O8" s="272"/>
    </row>
    <row r="9" spans="1:18" s="65" customFormat="1" ht="20.100000000000001" customHeight="1">
      <c r="A9" s="64" t="s">
        <v>29</v>
      </c>
      <c r="C9" s="65" t="str">
        <f>"Betreuungskräfte "&amp;TEXT(Kalkulationsblatt!E23,"")&amp;""</f>
        <v xml:space="preserve">Betreuungskräfte </v>
      </c>
      <c r="F9" s="523"/>
      <c r="G9" s="66"/>
      <c r="H9" s="66"/>
      <c r="I9" s="66"/>
      <c r="J9" s="66">
        <f>IF(O9="Fehler","Fehler",SUM(I10:I19))</f>
        <v>0</v>
      </c>
      <c r="L9" s="146" t="str">
        <f>IF(SUM(K10:K19)=0,"",SUM(K10:K19))</f>
        <v/>
      </c>
      <c r="M9" s="475"/>
      <c r="N9" s="476"/>
      <c r="O9" s="270" t="str">
        <f>IF(COUNTBLANK(O10:O19)&lt;9,"Fehler","")</f>
        <v/>
      </c>
      <c r="R9" s="96"/>
    </row>
    <row r="10" spans="1:18" s="67" customFormat="1" ht="20.100000000000001" customHeight="1">
      <c r="C10" s="195" t="str">
        <f>IF('PK AN-Brutto'!C9=0,"",'PK AN-Brutto'!C9)</f>
        <v/>
      </c>
      <c r="D10" s="337" t="str">
        <f>IF('PK AN-Brutto'!E9=0,"",'PK AN-Brutto'!E9)</f>
        <v/>
      </c>
      <c r="E10" s="337" t="str">
        <f>IF('PK AN-Brutto'!F9=0,"",'PK AN-Brutto'!F9)</f>
        <v/>
      </c>
      <c r="F10" s="522"/>
      <c r="G10" s="115" t="str">
        <f>'PK AG_Brutto'!L6</f>
        <v/>
      </c>
      <c r="H10" s="304"/>
      <c r="I10" s="115" t="str">
        <f>IF(AND(G10="",H10=0),"",IF(H10&gt;0,F10*H10,F10*G10))</f>
        <v/>
      </c>
      <c r="K10" s="141" t="str">
        <f t="shared" ref="K10:K14" si="0">IF(F10="","",F10)</f>
        <v/>
      </c>
      <c r="L10" s="142"/>
      <c r="M10" s="72"/>
      <c r="O10" s="270" t="str">
        <f t="shared" ref="O10:O19" si="1">IF(F10&gt;0,IF(I10="","Bitte Personalkosten in den folgenden Tabellenblättern oder alternativ in Spalte H eintragen",""),IF(I10="","","Stellenanteil -VZK oder Multiplikator für die Personalkosten eintragen"))</f>
        <v/>
      </c>
      <c r="P10" s="472"/>
    </row>
    <row r="11" spans="1:18" s="67" customFormat="1" ht="20.100000000000001" customHeight="1">
      <c r="C11" s="195" t="str">
        <f>IF('PK AN-Brutto'!C10=0,"",'PK AN-Brutto'!C10)</f>
        <v/>
      </c>
      <c r="D11" s="337" t="str">
        <f>IF('PK AN-Brutto'!E10=0,"",'PK AN-Brutto'!E10)</f>
        <v/>
      </c>
      <c r="E11" s="337" t="str">
        <f>IF('PK AN-Brutto'!F10=0,"",'PK AN-Brutto'!F10)</f>
        <v/>
      </c>
      <c r="F11" s="301"/>
      <c r="G11" s="115" t="str">
        <f>'PK AG_Brutto'!L7</f>
        <v/>
      </c>
      <c r="H11" s="304"/>
      <c r="I11" s="115" t="str">
        <f t="shared" ref="I11:I19" si="2">IF(AND(G11="",H11=0),"",IF(H11&gt;0,F11*H11,F11*G11))</f>
        <v/>
      </c>
      <c r="K11" s="141" t="str">
        <f t="shared" si="0"/>
        <v/>
      </c>
      <c r="L11" s="142"/>
      <c r="M11" s="72"/>
      <c r="O11" s="270" t="str">
        <f t="shared" si="1"/>
        <v/>
      </c>
    </row>
    <row r="12" spans="1:18" s="67" customFormat="1" ht="20.100000000000001" customHeight="1">
      <c r="C12" s="195" t="str">
        <f>IF('PK AN-Brutto'!C11=0,"",'PK AN-Brutto'!C11)</f>
        <v/>
      </c>
      <c r="D12" s="337" t="str">
        <f>IF('PK AN-Brutto'!E11=0,"",'PK AN-Brutto'!E11)</f>
        <v/>
      </c>
      <c r="E12" s="337" t="str">
        <f>IF('PK AN-Brutto'!F11=0,"",'PK AN-Brutto'!F11)</f>
        <v/>
      </c>
      <c r="F12" s="301"/>
      <c r="G12" s="115" t="str">
        <f>'PK AG_Brutto'!L8</f>
        <v/>
      </c>
      <c r="H12" s="304"/>
      <c r="I12" s="115" t="str">
        <f t="shared" si="2"/>
        <v/>
      </c>
      <c r="K12" s="141" t="str">
        <f t="shared" si="0"/>
        <v/>
      </c>
      <c r="L12" s="142"/>
      <c r="M12" s="72"/>
      <c r="O12" s="270" t="str">
        <f t="shared" si="1"/>
        <v/>
      </c>
    </row>
    <row r="13" spans="1:18" s="67" customFormat="1" ht="20.100000000000001" customHeight="1">
      <c r="C13" s="195" t="str">
        <f>IF('PK AN-Brutto'!C12=0,"",'PK AN-Brutto'!C12)</f>
        <v/>
      </c>
      <c r="D13" s="337" t="str">
        <f>IF('PK AN-Brutto'!E12=0,"",'PK AN-Brutto'!E12)</f>
        <v/>
      </c>
      <c r="E13" s="337" t="str">
        <f>IF('PK AN-Brutto'!F12=0,"",'PK AN-Brutto'!F12)</f>
        <v/>
      </c>
      <c r="F13" s="301"/>
      <c r="G13" s="115" t="str">
        <f>'PK AG_Brutto'!L9</f>
        <v/>
      </c>
      <c r="H13" s="304"/>
      <c r="I13" s="115" t="str">
        <f t="shared" si="2"/>
        <v/>
      </c>
      <c r="K13" s="141" t="str">
        <f t="shared" si="0"/>
        <v/>
      </c>
      <c r="L13" s="142"/>
      <c r="M13" s="72"/>
      <c r="O13" s="270" t="str">
        <f t="shared" si="1"/>
        <v/>
      </c>
    </row>
    <row r="14" spans="1:18" s="67" customFormat="1" ht="20.100000000000001" customHeight="1">
      <c r="C14" s="195" t="str">
        <f>IF('PK AN-Brutto'!C13=0,"",'PK AN-Brutto'!C13)</f>
        <v/>
      </c>
      <c r="D14" s="337" t="str">
        <f>IF('PK AN-Brutto'!E13=0,"",'PK AN-Brutto'!E13)</f>
        <v/>
      </c>
      <c r="E14" s="337" t="str">
        <f>IF('PK AN-Brutto'!F13=0,"",'PK AN-Brutto'!F13)</f>
        <v/>
      </c>
      <c r="F14" s="301"/>
      <c r="G14" s="115" t="str">
        <f>'PK AG_Brutto'!L10</f>
        <v/>
      </c>
      <c r="H14" s="304"/>
      <c r="I14" s="115" t="str">
        <f t="shared" ref="I14:I15" si="3">IF(AND(G14="",H14=0),"",IF(H14&gt;0,F14*H14,F14*G14))</f>
        <v/>
      </c>
      <c r="K14" s="141" t="str">
        <f t="shared" si="0"/>
        <v/>
      </c>
      <c r="L14" s="142"/>
      <c r="M14" s="72"/>
      <c r="O14" s="270" t="str">
        <f t="shared" si="1"/>
        <v/>
      </c>
    </row>
    <row r="15" spans="1:18" s="67" customFormat="1" ht="20.100000000000001" customHeight="1">
      <c r="C15" s="195" t="s">
        <v>271</v>
      </c>
      <c r="D15" s="337" t="str">
        <f>IF('PK AN-Brutto'!E14=0,"",'PK AN-Brutto'!E14)</f>
        <v/>
      </c>
      <c r="E15" s="337" t="str">
        <f>IF('PK AN-Brutto'!F14=0,"",'PK AN-Brutto'!F14)</f>
        <v/>
      </c>
      <c r="F15" s="301"/>
      <c r="G15" s="115" t="str">
        <f>'PK AG_Brutto'!L11</f>
        <v/>
      </c>
      <c r="H15" s="304"/>
      <c r="I15" s="115" t="str">
        <f t="shared" si="3"/>
        <v/>
      </c>
      <c r="K15" s="141" t="str">
        <f>IF(F15="","",IF(F15=0,"",IF(N15="","",I15/N15)))</f>
        <v/>
      </c>
      <c r="L15" s="142"/>
      <c r="M15" s="72"/>
      <c r="N15" s="527" t="str">
        <f>IF(SUM(F10:F14)=0,"",SUM(I10:I14)/SUM(F10:F14))</f>
        <v/>
      </c>
      <c r="O15" s="270" t="str">
        <f t="shared" si="1"/>
        <v/>
      </c>
    </row>
    <row r="16" spans="1:18" s="67" customFormat="1" ht="20.100000000000001" customHeight="1">
      <c r="C16" s="70" t="s">
        <v>251</v>
      </c>
      <c r="D16" s="337" t="str">
        <f>IF('PK AN-Brutto'!E15=0,"",'PK AN-Brutto'!E15)</f>
        <v/>
      </c>
      <c r="E16" s="337" t="str">
        <f>IF('PK AN-Brutto'!F15=0,"",'PK AN-Brutto'!F15)</f>
        <v/>
      </c>
      <c r="F16" s="301"/>
      <c r="G16" s="115" t="str">
        <f>'PK AG_Brutto'!L12</f>
        <v/>
      </c>
      <c r="H16" s="304"/>
      <c r="I16" s="115" t="str">
        <f t="shared" si="2"/>
        <v/>
      </c>
      <c r="K16" s="303"/>
      <c r="L16" s="142"/>
      <c r="M16" s="72"/>
      <c r="O16" s="270" t="str">
        <f t="shared" si="1"/>
        <v/>
      </c>
    </row>
    <row r="17" spans="1:20" s="67" customFormat="1" ht="20.100000000000001" customHeight="1">
      <c r="C17" s="70" t="s">
        <v>135</v>
      </c>
      <c r="D17" s="337" t="str">
        <f>IF('PK AN-Brutto'!E16=0,"",'PK AN-Brutto'!E16)</f>
        <v/>
      </c>
      <c r="E17" s="337" t="str">
        <f>IF('PK AN-Brutto'!F16=0,"",'PK AN-Brutto'!F16)</f>
        <v/>
      </c>
      <c r="F17" s="301"/>
      <c r="G17" s="115" t="str">
        <f>'PK AG_Brutto'!L13</f>
        <v/>
      </c>
      <c r="H17" s="304"/>
      <c r="I17" s="115" t="str">
        <f t="shared" si="2"/>
        <v/>
      </c>
      <c r="K17" s="303"/>
      <c r="L17" s="142"/>
      <c r="M17" s="72"/>
      <c r="O17" s="270" t="str">
        <f t="shared" si="1"/>
        <v/>
      </c>
    </row>
    <row r="18" spans="1:20" s="67" customFormat="1" ht="20.100000000000001" customHeight="1">
      <c r="C18" s="71" t="s">
        <v>73</v>
      </c>
      <c r="D18" s="337" t="str">
        <f>IF('PK AN-Brutto'!E17=0,"",'PK AN-Brutto'!E17)</f>
        <v/>
      </c>
      <c r="E18" s="337" t="str">
        <f>IF('PK AN-Brutto'!F17=0,"",'PK AN-Brutto'!F17)</f>
        <v/>
      </c>
      <c r="F18" s="301"/>
      <c r="G18" s="115" t="str">
        <f>'PK AG_Brutto'!L14</f>
        <v/>
      </c>
      <c r="H18" s="304"/>
      <c r="I18" s="115" t="str">
        <f t="shared" si="2"/>
        <v/>
      </c>
      <c r="K18" s="528"/>
      <c r="M18" s="72"/>
      <c r="N18" s="148" t="s">
        <v>110</v>
      </c>
      <c r="O18" s="270" t="str">
        <f t="shared" si="1"/>
        <v/>
      </c>
    </row>
    <row r="19" spans="1:20" s="67" customFormat="1" ht="20.100000000000001" customHeight="1">
      <c r="C19" s="70" t="s">
        <v>272</v>
      </c>
      <c r="D19" s="337" t="str">
        <f>IF('PK AN-Brutto'!E18=0,"",'PK AN-Brutto'!E18)</f>
        <v/>
      </c>
      <c r="E19" s="337" t="str">
        <f>IF('PK AN-Brutto'!F18=0,"",'PK AN-Brutto'!F18)</f>
        <v/>
      </c>
      <c r="F19" s="301"/>
      <c r="G19" s="115" t="str">
        <f>'PK AG_Brutto'!L15</f>
        <v/>
      </c>
      <c r="H19" s="304"/>
      <c r="I19" s="115" t="str">
        <f t="shared" si="2"/>
        <v/>
      </c>
      <c r="K19" s="149"/>
      <c r="L19" s="142"/>
      <c r="M19" s="72"/>
      <c r="O19" s="270" t="str">
        <f t="shared" si="1"/>
        <v/>
      </c>
    </row>
    <row r="20" spans="1:20" s="67" customFormat="1" ht="20.100000000000001" customHeight="1">
      <c r="F20" s="62"/>
      <c r="G20" s="69"/>
      <c r="H20" s="69"/>
      <c r="I20" s="69"/>
      <c r="K20" s="140"/>
      <c r="L20" s="72"/>
      <c r="M20" s="72"/>
      <c r="O20" s="270"/>
    </row>
    <row r="21" spans="1:20" s="67" customFormat="1" ht="20.100000000000001" customHeight="1">
      <c r="A21" s="64" t="s">
        <v>250</v>
      </c>
      <c r="C21" s="65" t="s">
        <v>0</v>
      </c>
      <c r="D21" s="65"/>
      <c r="E21" s="65"/>
      <c r="F21" s="62"/>
      <c r="G21" s="69"/>
      <c r="H21" s="69"/>
      <c r="I21" s="69"/>
      <c r="K21" s="140"/>
      <c r="L21" s="72"/>
      <c r="M21" s="72"/>
      <c r="O21" s="270"/>
      <c r="T21" s="169"/>
    </row>
    <row r="22" spans="1:20" s="67" customFormat="1" ht="20.100000000000001" customHeight="1">
      <c r="B22" s="162"/>
      <c r="C22" s="497" t="s">
        <v>240</v>
      </c>
      <c r="D22" s="338"/>
      <c r="E22" s="338"/>
      <c r="F22" s="532"/>
      <c r="G22" s="172"/>
      <c r="H22" s="172"/>
      <c r="I22" s="171"/>
      <c r="J22" s="66">
        <f>IF(F22&gt;0,(J$9+Kalkulationsblatt!E41)*F22,SUM(I23:I24))</f>
        <v>0</v>
      </c>
      <c r="K22" s="140"/>
      <c r="L22" s="143" t="str">
        <f>IF(SUM(K23:K24)=0,"",SUM(K23:K24))</f>
        <v/>
      </c>
      <c r="M22" s="144"/>
      <c r="N22" s="145"/>
      <c r="O22" s="270"/>
      <c r="P22" s="472"/>
    </row>
    <row r="23" spans="1:20" s="67" customFormat="1" ht="20.100000000000001" customHeight="1">
      <c r="C23" s="195" t="str">
        <f>IF($F$22&gt;0,"",IF('PK AN-Brutto'!C21=0,"",'PK AN-Brutto'!C21))</f>
        <v/>
      </c>
      <c r="D23" s="337" t="str">
        <f>IF($F$22&gt;0,"",IF('PK AN-Brutto'!E21=0,"",'PK AN-Brutto'!E21))</f>
        <v/>
      </c>
      <c r="E23" s="337" t="str">
        <f>IF($F$22&gt;0,"",IF('PK AN-Brutto'!F21=0,"",'PK AN-Brutto'!F21))</f>
        <v/>
      </c>
      <c r="F23" s="301"/>
      <c r="G23" s="115" t="str">
        <f>IF($F$22&gt;0,"",'PK AG_Brutto'!L18)</f>
        <v/>
      </c>
      <c r="H23" s="304"/>
      <c r="I23" s="115" t="str">
        <f>IF(AND(G23="",H23=0),"",IF(H23&gt;0,F23*H23,F23*G23))</f>
        <v/>
      </c>
      <c r="K23" s="140"/>
      <c r="L23" s="72"/>
      <c r="M23" s="72"/>
      <c r="N23" s="169"/>
      <c r="O23" s="270" t="str">
        <f>IF(F23&gt;0,IF(I23="","Bitte Personalkosten in den folgenden Tabellenblättern oder alternativ in Spalte H eintragen",""),IF(I23="","","Stellenanteil -VZK oder Multiplikator für die Personalkosten eintragen"))</f>
        <v/>
      </c>
      <c r="P23" s="348"/>
    </row>
    <row r="24" spans="1:20" s="67" customFormat="1" ht="20.100000000000001" customHeight="1">
      <c r="C24" s="195" t="str">
        <f>IF($F$22&gt;0,"",IF('PK AN-Brutto'!C22=0,"",'PK AN-Brutto'!C22))</f>
        <v/>
      </c>
      <c r="D24" s="337" t="str">
        <f>IF($F$22&gt;0,"",IF('PK AN-Brutto'!E22=0,"",'PK AN-Brutto'!E22))</f>
        <v/>
      </c>
      <c r="E24" s="337" t="str">
        <f>IF($F$22&gt;0,"",IF('PK AN-Brutto'!F22=0,"",'PK AN-Brutto'!F22))</f>
        <v/>
      </c>
      <c r="F24" s="301"/>
      <c r="G24" s="115" t="str">
        <f>IF($F$22&gt;0,"",'PK AG_Brutto'!L19)</f>
        <v/>
      </c>
      <c r="H24" s="304"/>
      <c r="I24" s="115" t="str">
        <f>IF(AND(G24="",H24=0),"",IF(H24&gt;0,F24*H24,F24*G24))</f>
        <v/>
      </c>
      <c r="K24" s="140"/>
      <c r="L24" s="72"/>
      <c r="M24" s="72"/>
      <c r="N24" s="169"/>
      <c r="O24" s="270" t="str">
        <f>IF(F24&gt;0,IF(I24="","Bitte Personalkosten in den folgenden Tabellenblättern oder alternativ in Spalte H eintragen",""),IF(I24="","","Stellenanteil -VZK oder Multiplikator für die Personalkosten eintragen"))</f>
        <v/>
      </c>
    </row>
    <row r="25" spans="1:20" s="67" customFormat="1" ht="20.100000000000001" customHeight="1">
      <c r="C25" s="73"/>
      <c r="D25" s="73"/>
      <c r="E25" s="73"/>
      <c r="F25" s="62"/>
      <c r="G25" s="69"/>
      <c r="H25" s="69"/>
      <c r="I25" s="69"/>
      <c r="K25" s="140"/>
      <c r="L25" s="72"/>
      <c r="M25" s="72"/>
      <c r="N25" s="169"/>
      <c r="O25" s="270"/>
      <c r="P25" s="472"/>
    </row>
    <row r="26" spans="1:20" s="67" customFormat="1" ht="20.100000000000001" customHeight="1">
      <c r="A26" s="64" t="s">
        <v>33</v>
      </c>
      <c r="C26" s="65" t="s">
        <v>1</v>
      </c>
      <c r="D26" s="65"/>
      <c r="E26" s="65"/>
      <c r="F26" s="62"/>
      <c r="G26" s="69"/>
      <c r="H26" s="69"/>
      <c r="I26" s="69"/>
      <c r="K26" s="140"/>
      <c r="L26" s="72"/>
      <c r="M26" s="72"/>
      <c r="N26" s="169"/>
      <c r="O26" s="270"/>
    </row>
    <row r="27" spans="1:20" s="67" customFormat="1" ht="20.100000000000001" customHeight="1">
      <c r="B27" s="163"/>
      <c r="C27" s="497" t="s">
        <v>240</v>
      </c>
      <c r="D27" s="339"/>
      <c r="E27" s="339"/>
      <c r="F27" s="532"/>
      <c r="G27" s="69"/>
      <c r="H27" s="69"/>
      <c r="I27" s="69"/>
      <c r="J27" s="66">
        <f>IF(F27&gt;0,(J$9+Kalkulationsblatt!E41)*F27,SUM(I28:I32))</f>
        <v>0</v>
      </c>
      <c r="K27" s="140"/>
      <c r="L27" s="143" t="str">
        <f>IF(SUM(K28:K32)=0,"",SUM(K28:K32))</f>
        <v/>
      </c>
      <c r="M27" s="144"/>
      <c r="N27" s="145"/>
      <c r="O27" s="270"/>
    </row>
    <row r="28" spans="1:20" s="67" customFormat="1" ht="20.100000000000001" customHeight="1">
      <c r="C28" s="195" t="str">
        <f>IF($F$27&gt;0,"",IF('PK AN-Brutto'!C25=0,"",'PK AN-Brutto'!C25))</f>
        <v/>
      </c>
      <c r="D28" s="337" t="str">
        <f>IF($F$27&gt;0,"",IF('PK AN-Brutto'!E25=0,"",'PK AN-Brutto'!E25))</f>
        <v/>
      </c>
      <c r="E28" s="337" t="str">
        <f>IF($F$27&gt;0,"",IF('PK AN-Brutto'!F25=0,"",'PK AN-Brutto'!F25))</f>
        <v/>
      </c>
      <c r="F28" s="301"/>
      <c r="G28" s="115" t="str">
        <f>IF($F$27&gt;0,"",IF('PK AG_Brutto'!L22="","",'PK AG_Brutto'!L22))</f>
        <v/>
      </c>
      <c r="H28" s="304"/>
      <c r="I28" s="115" t="str">
        <f t="shared" ref="I28:I32" si="4">IF(AND(G28="",H28=0),"",IF(H28&gt;0,F28*H28,F28*G28))</f>
        <v/>
      </c>
      <c r="K28" s="473"/>
      <c r="L28" s="72"/>
      <c r="M28" s="72"/>
      <c r="O28" s="270" t="str">
        <f>IF(F28&gt;0,IF(I28="","Bitte Personalkosten in den folgenden Tabellenblättern oder alternativ in Spalte H eintragen",""),IF(I28="","","Stellenanteil -VZK oder Multiplikator für die Personalkosten eintragen"))</f>
        <v/>
      </c>
    </row>
    <row r="29" spans="1:20" s="67" customFormat="1" ht="20.100000000000001" customHeight="1">
      <c r="C29" s="195" t="str">
        <f>IF($F$27&gt;0,"",IF('PK AN-Brutto'!C26=0,"",'PK AN-Brutto'!C26))</f>
        <v/>
      </c>
      <c r="D29" s="337" t="str">
        <f>IF($F$27&gt;0,"",IF('PK AN-Brutto'!E26=0,"",'PK AN-Brutto'!E26))</f>
        <v/>
      </c>
      <c r="E29" s="337" t="str">
        <f>IF($F$27&gt;0,"",IF('PK AN-Brutto'!F26=0,"",'PK AN-Brutto'!F26))</f>
        <v/>
      </c>
      <c r="F29" s="301"/>
      <c r="G29" s="115" t="str">
        <f>IF($F$27&gt;0,"",IF('PK AG_Brutto'!L23="","",'PK AG_Brutto'!L23))</f>
        <v/>
      </c>
      <c r="H29" s="304"/>
      <c r="I29" s="115" t="str">
        <f t="shared" si="4"/>
        <v/>
      </c>
      <c r="K29" s="473"/>
      <c r="L29" s="72"/>
      <c r="M29" s="72"/>
      <c r="O29" s="270" t="str">
        <f>IF(F29&gt;0,IF(I29="","Bitte Personalkosten in den folgenden Tabellenblättern oder alternativ in Spalte H eintragen",""),IF(I29="","","Stellenanteil -VZK oder Multiplikator für die Personalkosten eintragen"))</f>
        <v/>
      </c>
    </row>
    <row r="30" spans="1:20" s="67" customFormat="1" ht="20.100000000000001" customHeight="1">
      <c r="C30" s="195" t="str">
        <f>IF($F$27&gt;0,"",IF('PK AN-Brutto'!C27=0,"",'PK AN-Brutto'!C27))</f>
        <v/>
      </c>
      <c r="D30" s="337" t="str">
        <f>IF($F$27&gt;0,"",IF('PK AN-Brutto'!E27=0,"",'PK AN-Brutto'!E27))</f>
        <v/>
      </c>
      <c r="E30" s="337" t="str">
        <f>IF($F$27&gt;0,"",IF('PK AN-Brutto'!F27=0,"",'PK AN-Brutto'!F27))</f>
        <v/>
      </c>
      <c r="F30" s="301"/>
      <c r="G30" s="115" t="str">
        <f>IF($F$27&gt;0,"",IF('PK AG_Brutto'!L24="","",'PK AG_Brutto'!L24))</f>
        <v/>
      </c>
      <c r="H30" s="304"/>
      <c r="I30" s="115" t="str">
        <f t="shared" si="4"/>
        <v/>
      </c>
      <c r="K30" s="473"/>
      <c r="L30" s="72"/>
      <c r="M30" s="72"/>
      <c r="O30" s="270" t="str">
        <f>IF(F30&gt;0,IF(I30="","Bitte Personalkosten in den folgenden Tabellenblättern oder alternativ in Spalte H eintragen",""),IF(I30="","","Stellenanteil -VZK oder Multiplikator für die Personalkosten eintragen"))</f>
        <v/>
      </c>
    </row>
    <row r="31" spans="1:20" s="67" customFormat="1" ht="20.100000000000001" customHeight="1">
      <c r="C31" s="71" t="str">
        <f>IF($F$27&gt;0,"","MiniJob")</f>
        <v>MiniJob</v>
      </c>
      <c r="D31" s="340"/>
      <c r="E31" s="340"/>
      <c r="F31" s="301"/>
      <c r="G31" s="115" t="str">
        <f>IF($F$27&gt;0,"",IF('PK AG_Brutto'!L27="","",'PK AG_Brutto'!L27))</f>
        <v/>
      </c>
      <c r="H31" s="304"/>
      <c r="I31" s="115" t="str">
        <f t="shared" si="4"/>
        <v/>
      </c>
      <c r="K31" s="474"/>
      <c r="L31" s="72"/>
      <c r="M31" s="72"/>
      <c r="O31" s="270" t="str">
        <f>IF(F31&gt;0,IF(I31="","Bitte Personalkosten in den folgenden Tabellenblättern oder alternativ in Spalte H eintragen",""),IF(I31="","","Stellenanteil -VZK oder Multiplikator für die Personalkosten eintragen"))</f>
        <v/>
      </c>
    </row>
    <row r="32" spans="1:20" s="67" customFormat="1" ht="20.100000000000001" customHeight="1">
      <c r="C32" s="71" t="str">
        <f>IF($F$27&gt;0,"","Honorare")</f>
        <v>Honorare</v>
      </c>
      <c r="D32" s="340"/>
      <c r="E32" s="340"/>
      <c r="F32" s="301"/>
      <c r="G32" s="115" t="str">
        <f>IF($F$27&gt;0,"",IF('PK AG_Brutto'!L28="","",'PK AG_Brutto'!L28))</f>
        <v/>
      </c>
      <c r="H32" s="304"/>
      <c r="I32" s="115" t="str">
        <f t="shared" si="4"/>
        <v/>
      </c>
      <c r="K32" s="474"/>
      <c r="L32" s="72"/>
      <c r="M32" s="72"/>
      <c r="O32" s="270" t="str">
        <f>IF(F32&gt;0,IF(I32="","Bitte Personalkosten in den folgenden Tabellenblättern oder alternativ in Spalte H eintragen",""),IF(I32="","","Stellenanteil -VZK oder Multiplikator für die Personalkosten eintragen"))</f>
        <v/>
      </c>
    </row>
    <row r="33" spans="6:15" s="67" customFormat="1" ht="20.100000000000001" customHeight="1">
      <c r="F33" s="62"/>
      <c r="G33" s="69"/>
      <c r="H33" s="69"/>
      <c r="I33" s="69"/>
      <c r="J33" s="69"/>
      <c r="K33" s="140"/>
      <c r="L33" s="72"/>
      <c r="M33" s="72"/>
      <c r="O33" s="270"/>
    </row>
    <row r="34" spans="6:15" ht="10.5" customHeight="1">
      <c r="F34" s="62"/>
      <c r="L34" s="86"/>
      <c r="M34" s="86"/>
    </row>
    <row r="35" spans="6:15">
      <c r="J35" s="170">
        <f>SUM(J9:J33)</f>
        <v>0</v>
      </c>
      <c r="K35" s="351"/>
      <c r="L35" s="86"/>
      <c r="M35" s="86"/>
    </row>
  </sheetData>
  <sheetProtection algorithmName="SHA-512" hashValue="aeRomXLWEy7JdqqKp/+3Q36mcM4wtxpIljdY1pD+pYgu0lBe09iScWjhKNa8KPcVUGcSLnTxtMwm/8xi74xpZA==" saltValue="X7F/rSCUeVzmdYW3FU3g1w==" spinCount="100000" sheet="1" objects="1" scenarios="1" sort="0"/>
  <mergeCells count="11">
    <mergeCell ref="C2:K2"/>
    <mergeCell ref="C1:K1"/>
    <mergeCell ref="I6:I7"/>
    <mergeCell ref="F6:F7"/>
    <mergeCell ref="M7:N7"/>
    <mergeCell ref="C6:C7"/>
    <mergeCell ref="G6:G7"/>
    <mergeCell ref="J6:J7"/>
    <mergeCell ref="H6:H7"/>
    <mergeCell ref="K6:K7"/>
    <mergeCell ref="L6:L7"/>
  </mergeCells>
  <conditionalFormatting sqref="F23:F24 H23:H24">
    <cfRule type="expression" dxfId="39" priority="16">
      <formula>$F$22&gt;0</formula>
    </cfRule>
  </conditionalFormatting>
  <conditionalFormatting sqref="F28:F32 H28:H32">
    <cfRule type="expression" dxfId="38" priority="14">
      <formula>$F$27&gt;0</formula>
    </cfRule>
    <cfRule type="expression" priority="15">
      <formula>$F$27&gt;0</formula>
    </cfRule>
  </conditionalFormatting>
  <conditionalFormatting sqref="C23:I24">
    <cfRule type="expression" dxfId="37" priority="4">
      <formula>$F$22&gt;0</formula>
    </cfRule>
  </conditionalFormatting>
  <conditionalFormatting sqref="C23:F23">
    <cfRule type="expression" dxfId="36" priority="3">
      <formula>$F$22&gt;0</formula>
    </cfRule>
  </conditionalFormatting>
  <conditionalFormatting sqref="C28:I32">
    <cfRule type="expression" dxfId="35" priority="2">
      <formula>$F$27&gt;0</formula>
    </cfRule>
  </conditionalFormatting>
  <conditionalFormatting sqref="C28:F28">
    <cfRule type="expression" dxfId="34" priority="1">
      <formula>$F$27&gt;0</formula>
    </cfRule>
  </conditionalFormatting>
  <pageMargins left="0.70866141732283472" right="0.70866141732283472" top="0.74803149606299213" bottom="0.74803149606299213" header="0.31496062992125984" footer="0.31496062992125984"/>
  <pageSetup paperSize="9" scale="78" fitToHeight="0" orientation="landscape" r:id="rId1"/>
  <headerFooter>
    <oddFooter xml:space="preserve">&amp;L&amp;"Arial,Standard"&amp;8Datum des Ausdrucks
&amp;D&amp;C&amp;"Arial,Standard"&amp;8Kalkulationsdatei (Version 1.0)
Assistenzleistungen und Teilhabe an Bildung&amp;R&amp;"Arial,Standard"&amp;8Seite &amp;P von &amp;N </oddFooter>
  </headerFooter>
  <rowBreaks count="1" manualBreakCount="1">
    <brk id="24" max="16383"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3" id="{78B3CF99-14CB-45CE-ABBE-FC7E2BFD3DE5}">
            <xm:f>Kalkulationsblatt!$E$23="Teilhabe an Bildung"</xm:f>
            <x14:dxf>
              <fill>
                <patternFill>
                  <bgColor theme="7" tint="0.79998168889431442"/>
                </patternFill>
              </fill>
            </x14:dxf>
          </x14:cfRule>
          <xm:sqref>F10:F19 H10:H19 K17 F22 F27:F28</xm:sqref>
        </x14:conditionalFormatting>
        <x14:conditionalFormatting xmlns:xm="http://schemas.microsoft.com/office/excel/2006/main">
          <x14:cfRule type="expression" priority="12" id="{20642892-F463-4BE2-9290-D957EDAC04A2}">
            <xm:f>Kalkulationsblatt!$E$23="sonstige Kräfte"</xm:f>
            <x14:dxf>
              <fill>
                <patternFill>
                  <bgColor theme="6" tint="0.79998168889431442"/>
                </patternFill>
              </fill>
            </x14:dxf>
          </x14:cfRule>
          <xm:sqref>F10:F19 H10:H19 K17 F22 F27</xm:sqref>
        </x14:conditionalFormatting>
        <x14:conditionalFormatting xmlns:xm="http://schemas.microsoft.com/office/excel/2006/main">
          <x14:cfRule type="expression" priority="11" id="{D025EEB3-A77A-4FB4-BBDE-333E8F1F36DE}">
            <xm:f>Kalkulationsblatt!$E$23="Teilhabe an Bildung"</xm:f>
            <x14:dxf>
              <fill>
                <patternFill>
                  <bgColor theme="7" tint="0.79998168889431442"/>
                </patternFill>
              </fill>
            </x14:dxf>
          </x14:cfRule>
          <xm:sqref>K18</xm:sqref>
        </x14:conditionalFormatting>
        <x14:conditionalFormatting xmlns:xm="http://schemas.microsoft.com/office/excel/2006/main">
          <x14:cfRule type="expression" priority="10" id="{63C35A98-76CF-4E76-AC6B-BE6BAEEDE9CE}">
            <xm:f>Kalkulationsblatt!$E$23="kompensatorische Assistenz"</xm:f>
            <x14:dxf>
              <fill>
                <patternFill>
                  <bgColor theme="6" tint="0.79998168889431442"/>
                </patternFill>
              </fill>
            </x14:dxf>
          </x14:cfRule>
          <xm:sqref>K18</xm:sqref>
        </x14:conditionalFormatting>
        <x14:conditionalFormatting xmlns:xm="http://schemas.microsoft.com/office/excel/2006/main">
          <x14:cfRule type="expression" priority="9" id="{764D13F1-6FE4-447E-AA68-6DF48A7ABB0D}">
            <xm:f>Kalkulationsblatt!$E$23="Teilhabe an Bildung"</xm:f>
            <x14:dxf>
              <fill>
                <patternFill>
                  <bgColor theme="7" tint="0.79998168889431442"/>
                </patternFill>
              </fill>
            </x14:dxf>
          </x14:cfRule>
          <xm:sqref>K16</xm:sqref>
        </x14:conditionalFormatting>
        <x14:conditionalFormatting xmlns:xm="http://schemas.microsoft.com/office/excel/2006/main">
          <x14:cfRule type="expression" priority="8" id="{0350FCC3-1848-4CB7-8A32-F1CA37078165}">
            <xm:f>Kalkulationsblatt!$E$23="kompensatorische Assistenz"</xm:f>
            <x14:dxf>
              <fill>
                <patternFill>
                  <bgColor theme="6" tint="0.79998168889431442"/>
                </patternFill>
              </fill>
            </x14:dxf>
          </x14:cfRule>
          <xm:sqref>K16</xm:sqref>
        </x14:conditionalFormatting>
        <x14:conditionalFormatting xmlns:xm="http://schemas.microsoft.com/office/excel/2006/main">
          <x14:cfRule type="expression" priority="5" id="{350FB9A0-0516-4541-8A98-07537164AFE1}">
            <xm:f>Kalkulationsblatt!$E$23="sonstige Kräfte"</xm:f>
            <x14:dxf>
              <fill>
                <patternFill>
                  <bgColor theme="6" tint="0.79998168889431442"/>
                </patternFill>
              </fill>
            </x14:dxf>
          </x14:cfRule>
          <xm:sqref>F23:F24 H23:H24 F28:F32 H28:H32 K16 K18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D3BD-E797-4B9D-B37C-3CB93C9A7F21}">
  <sheetPr codeName="Tabelle9">
    <pageSetUpPr fitToPage="1"/>
  </sheetPr>
  <dimension ref="A1:P72"/>
  <sheetViews>
    <sheetView showGridLines="0" zoomScaleNormal="100" workbookViewId="0">
      <selection activeCell="C51" sqref="C51:D60"/>
    </sheetView>
  </sheetViews>
  <sheetFormatPr baseColWidth="10" defaultColWidth="11.5703125" defaultRowHeight="12.75"/>
  <cols>
    <col min="1" max="1" width="3.28515625" style="360" customWidth="1"/>
    <col min="2" max="2" width="72" style="360" customWidth="1"/>
    <col min="3" max="4" width="11.5703125" style="360"/>
    <col min="5" max="5" width="14.7109375" style="360" customWidth="1"/>
    <col min="6" max="6" width="13.42578125" style="360" customWidth="1"/>
    <col min="7" max="7" width="14.140625" style="360" customWidth="1"/>
    <col min="8" max="8" width="15.28515625" style="360" customWidth="1"/>
    <col min="9" max="9" width="4.42578125" style="360" customWidth="1"/>
    <col min="10" max="10" width="14" style="360" customWidth="1"/>
    <col min="11" max="12" width="11.5703125" style="360"/>
    <col min="13" max="13" width="27.7109375" style="360" customWidth="1"/>
    <col min="14" max="14" width="6" style="360" customWidth="1"/>
    <col min="15" max="15" width="8.140625" style="360" customWidth="1"/>
    <col min="16" max="16" width="4.28515625" style="360" customWidth="1"/>
    <col min="17" max="16384" width="11.5703125" style="360"/>
  </cols>
  <sheetData>
    <row r="1" spans="1:9" ht="27.6" customHeight="1" thickBot="1">
      <c r="B1" s="660" t="str">
        <f>"Kalkulation "&amp;TEXT(Kalkulationsblatt!E23,"")&amp;" "&amp;TEXT(Kalkulationsblatt!C4,"")&amp;" für den Zeitraum von "&amp;TEXT(Kalkulationsblatt!B21,"TT. MMMM JJJJ")&amp;" bis zum "&amp;TEXT(Kalkulationsblatt!E21,"TT. MMMM JJJJ")&amp;""</f>
        <v>Kalkulation   für den Zeitraum von 00. Januar 1900 bis zum 00. Januar 1900</v>
      </c>
      <c r="C1" s="660"/>
      <c r="D1" s="660"/>
      <c r="E1" s="660"/>
      <c r="F1" s="660"/>
      <c r="G1" s="660"/>
      <c r="H1" s="660"/>
    </row>
    <row r="2" spans="1:9" ht="13.5" thickTop="1">
      <c r="A2" s="681" t="str">
        <f>"Nettojahresarbeitszeit "&amp;TEXT(Kalkulationsblatt!E23,"")&amp;""</f>
        <v xml:space="preserve">Nettojahresarbeitszeit </v>
      </c>
      <c r="B2" s="681"/>
      <c r="C2" s="681"/>
      <c r="D2" s="681"/>
      <c r="E2" s="681"/>
      <c r="F2" s="681"/>
      <c r="G2" s="681"/>
      <c r="H2" s="681"/>
      <c r="I2" s="681"/>
    </row>
    <row r="3" spans="1:9" ht="13.5" thickBot="1">
      <c r="A3" s="361"/>
      <c r="B3" s="362"/>
      <c r="C3" s="362"/>
      <c r="D3" s="362"/>
      <c r="E3" s="361"/>
      <c r="F3" s="363"/>
      <c r="G3" s="363"/>
      <c r="H3" s="363"/>
      <c r="I3" s="421"/>
    </row>
    <row r="4" spans="1:9" ht="13.5" thickBot="1">
      <c r="A4" s="364"/>
      <c r="B4" s="415" t="s">
        <v>204</v>
      </c>
      <c r="C4" s="365"/>
      <c r="D4" s="366"/>
      <c r="E4" s="364"/>
      <c r="F4" s="682"/>
      <c r="G4" s="682"/>
      <c r="H4" s="682"/>
      <c r="I4" s="367"/>
    </row>
    <row r="5" spans="1:9">
      <c r="A5" s="364"/>
      <c r="B5" s="368" t="s">
        <v>174</v>
      </c>
      <c r="C5" s="369">
        <v>52</v>
      </c>
      <c r="D5" s="370" t="s">
        <v>175</v>
      </c>
      <c r="E5" s="371"/>
      <c r="F5" s="683"/>
      <c r="G5" s="683"/>
      <c r="H5" s="683"/>
      <c r="I5" s="367"/>
    </row>
    <row r="6" spans="1:9" ht="13.15" customHeight="1">
      <c r="A6" s="364"/>
      <c r="B6" s="372" t="s">
        <v>176</v>
      </c>
      <c r="C6" s="373">
        <f>IF(F5&gt;0,F5,Kalkulationsblatt!B27)</f>
        <v>0</v>
      </c>
      <c r="D6" s="374" t="s">
        <v>80</v>
      </c>
      <c r="E6" s="364"/>
      <c r="F6" s="367"/>
      <c r="G6" s="367"/>
      <c r="H6" s="367"/>
      <c r="I6" s="367"/>
    </row>
    <row r="7" spans="1:9">
      <c r="A7" s="364"/>
      <c r="B7" s="375" t="s">
        <v>198</v>
      </c>
      <c r="C7" s="376">
        <f>C6/5</f>
        <v>0</v>
      </c>
      <c r="D7" s="374" t="s">
        <v>80</v>
      </c>
      <c r="E7" s="364"/>
      <c r="F7" s="377"/>
      <c r="G7" s="679"/>
      <c r="H7" s="679"/>
      <c r="I7" s="377"/>
    </row>
    <row r="8" spans="1:9" ht="13.5" thickBot="1">
      <c r="A8" s="364"/>
      <c r="B8" s="375" t="s">
        <v>199</v>
      </c>
      <c r="C8" s="378">
        <f>C5*5</f>
        <v>260</v>
      </c>
      <c r="D8" s="379" t="s">
        <v>140</v>
      </c>
      <c r="E8" s="364"/>
      <c r="F8" s="377"/>
      <c r="G8" s="679"/>
      <c r="H8" s="679"/>
      <c r="I8" s="380"/>
    </row>
    <row r="9" spans="1:9" ht="14.25" thickTop="1" thickBot="1">
      <c r="A9" s="364"/>
      <c r="B9" s="429" t="s">
        <v>200</v>
      </c>
      <c r="C9" s="464">
        <f>C8*C7</f>
        <v>0</v>
      </c>
      <c r="D9" s="430" t="s">
        <v>80</v>
      </c>
      <c r="E9" s="364"/>
      <c r="F9" s="377"/>
      <c r="G9" s="679"/>
      <c r="H9" s="680"/>
      <c r="I9" s="380"/>
    </row>
    <row r="10" spans="1:9">
      <c r="A10" s="364"/>
      <c r="B10" s="432"/>
      <c r="C10" s="411"/>
      <c r="D10" s="433"/>
      <c r="E10" s="364"/>
      <c r="F10" s="377"/>
      <c r="G10" s="377"/>
      <c r="H10" s="431"/>
      <c r="I10" s="380"/>
    </row>
    <row r="11" spans="1:9">
      <c r="A11" s="364"/>
      <c r="B11" s="434" t="s">
        <v>279</v>
      </c>
      <c r="C11" s="470" t="str">
        <f>'PK Zusammenfassung'!L9</f>
        <v/>
      </c>
      <c r="D11" s="433"/>
      <c r="E11" s="364"/>
      <c r="F11" s="377"/>
      <c r="G11" s="377"/>
      <c r="H11" s="431"/>
      <c r="I11" s="380"/>
    </row>
    <row r="12" spans="1:9">
      <c r="A12" s="364"/>
      <c r="B12" s="434" t="s">
        <v>205</v>
      </c>
      <c r="C12" s="498"/>
      <c r="D12" s="433"/>
      <c r="E12" s="364"/>
      <c r="F12" s="377"/>
      <c r="G12" s="377"/>
      <c r="H12" s="431"/>
      <c r="I12" s="380"/>
    </row>
    <row r="13" spans="1:9">
      <c r="A13" s="364"/>
      <c r="B13" s="381"/>
      <c r="C13" s="381"/>
      <c r="D13" s="364"/>
      <c r="E13" s="364"/>
      <c r="F13" s="364"/>
      <c r="G13" s="382"/>
      <c r="H13" s="382"/>
      <c r="I13" s="383"/>
    </row>
    <row r="14" spans="1:9">
      <c r="A14" s="674" t="s">
        <v>177</v>
      </c>
      <c r="B14" s="674"/>
      <c r="C14" s="674"/>
      <c r="D14" s="674"/>
      <c r="E14" s="674"/>
      <c r="F14" s="674"/>
      <c r="G14" s="674"/>
      <c r="H14" s="674"/>
      <c r="I14" s="674"/>
    </row>
    <row r="15" spans="1:9">
      <c r="A15" s="364"/>
      <c r="B15" s="364"/>
      <c r="C15" s="364"/>
      <c r="D15" s="364"/>
      <c r="E15" s="364"/>
      <c r="F15" s="364"/>
      <c r="G15" s="364"/>
      <c r="H15" s="364"/>
      <c r="I15" s="383"/>
    </row>
    <row r="16" spans="1:9" ht="13.5" thickBot="1">
      <c r="A16" s="364"/>
      <c r="B16" s="381"/>
      <c r="C16" s="381"/>
      <c r="D16" s="364"/>
      <c r="E16" s="364"/>
      <c r="F16" s="364"/>
      <c r="G16" s="364"/>
      <c r="H16" s="364"/>
      <c r="I16" s="383"/>
    </row>
    <row r="17" spans="1:16" ht="13.5" thickBot="1">
      <c r="A17" s="364"/>
      <c r="B17" s="477" t="s">
        <v>280</v>
      </c>
      <c r="C17" s="384" t="s">
        <v>80</v>
      </c>
      <c r="D17" s="385" t="s">
        <v>140</v>
      </c>
      <c r="E17" s="384" t="s">
        <v>175</v>
      </c>
      <c r="F17" s="383"/>
      <c r="G17" s="386"/>
      <c r="H17" s="386"/>
      <c r="I17" s="383"/>
    </row>
    <row r="18" spans="1:16">
      <c r="A18" s="364"/>
      <c r="B18" s="478" t="s">
        <v>178</v>
      </c>
      <c r="C18" s="387">
        <f>D18*C7</f>
        <v>0</v>
      </c>
      <c r="D18" s="499"/>
      <c r="E18" s="387">
        <f>D18/5</f>
        <v>0</v>
      </c>
      <c r="F18" s="364"/>
      <c r="G18" s="388"/>
      <c r="H18" s="388"/>
      <c r="I18" s="383"/>
    </row>
    <row r="19" spans="1:16">
      <c r="A19" s="364"/>
      <c r="B19" s="372" t="s">
        <v>179</v>
      </c>
      <c r="C19" s="389">
        <f>D19*C7</f>
        <v>0</v>
      </c>
      <c r="D19" s="500"/>
      <c r="E19" s="389">
        <f>D19/5</f>
        <v>0</v>
      </c>
      <c r="F19" s="364"/>
      <c r="G19" s="388"/>
      <c r="H19" s="388"/>
      <c r="I19" s="383"/>
    </row>
    <row r="20" spans="1:16">
      <c r="A20" s="364"/>
      <c r="B20" s="479" t="s">
        <v>274</v>
      </c>
      <c r="C20" s="389">
        <f>D20*C7</f>
        <v>0</v>
      </c>
      <c r="D20" s="500"/>
      <c r="E20" s="389">
        <f>D20/5</f>
        <v>0</v>
      </c>
      <c r="F20" s="364"/>
      <c r="G20" s="388"/>
      <c r="H20" s="388"/>
      <c r="I20" s="383"/>
      <c r="J20" s="36"/>
      <c r="P20" s="487"/>
    </row>
    <row r="21" spans="1:16" ht="13.5" thickBot="1">
      <c r="A21" s="364"/>
      <c r="B21" s="479" t="s">
        <v>180</v>
      </c>
      <c r="C21" s="390">
        <f>D21*C7</f>
        <v>0</v>
      </c>
      <c r="D21" s="501"/>
      <c r="E21" s="390">
        <f>D21/5</f>
        <v>0</v>
      </c>
      <c r="F21" s="364"/>
      <c r="G21" s="388"/>
      <c r="H21" s="388"/>
      <c r="I21" s="383"/>
    </row>
    <row r="22" spans="1:16" ht="14.25" thickTop="1" thickBot="1">
      <c r="A22" s="364"/>
      <c r="B22" s="480" t="s">
        <v>206</v>
      </c>
      <c r="C22" s="416">
        <f>SUM(C18:C21)</f>
        <v>0</v>
      </c>
      <c r="D22" s="417" t="str">
        <f>IF(C7=0,"",IF(SUM(D18:D21)=0,(C9-G23)/C7,SUM(D17:D21)))</f>
        <v/>
      </c>
      <c r="E22" s="416" t="str">
        <f>IF(D22="","",D22/5)</f>
        <v/>
      </c>
      <c r="F22" s="364"/>
      <c r="G22" s="457">
        <v>1584</v>
      </c>
      <c r="H22" s="458" t="s">
        <v>248</v>
      </c>
      <c r="I22" s="383"/>
      <c r="K22" s="486"/>
    </row>
    <row r="23" spans="1:16" ht="27.6" customHeight="1" thickBot="1">
      <c r="A23" s="364"/>
      <c r="B23" s="481" t="s">
        <v>281</v>
      </c>
      <c r="C23" s="465">
        <f>IF(D19=0,G23,C9-C22)</f>
        <v>0</v>
      </c>
      <c r="D23" s="425" t="str">
        <f>IF(D22="","",C8-D22)</f>
        <v/>
      </c>
      <c r="E23" s="425" t="str">
        <f>IF(E22="","",C5-E22)</f>
        <v/>
      </c>
      <c r="F23" s="364"/>
      <c r="G23" s="463">
        <f>ROUND(G22/39*C6,2)</f>
        <v>0</v>
      </c>
      <c r="H23" s="460" t="str">
        <f>"bei "&amp;TEXT(C6,"#0,00")&amp;" Wochenstunden"</f>
        <v>bei 0,00 Wochenstunden</v>
      </c>
      <c r="I23" s="383"/>
    </row>
    <row r="24" spans="1:16">
      <c r="A24" s="364"/>
      <c r="B24" s="422"/>
      <c r="C24" s="423"/>
      <c r="D24" s="423"/>
      <c r="E24" s="423"/>
      <c r="F24" s="364"/>
      <c r="G24" s="364"/>
      <c r="H24" s="364"/>
      <c r="I24" s="383"/>
    </row>
    <row r="25" spans="1:16">
      <c r="A25" s="674" t="s">
        <v>203</v>
      </c>
      <c r="B25" s="674"/>
      <c r="C25" s="674"/>
      <c r="D25" s="674"/>
      <c r="E25" s="674"/>
      <c r="F25" s="674"/>
      <c r="G25" s="674"/>
      <c r="H25" s="674"/>
      <c r="I25" s="674"/>
    </row>
    <row r="26" spans="1:16" ht="13.5" thickBot="1">
      <c r="A26" s="364"/>
      <c r="B26" s="381"/>
      <c r="C26" s="392"/>
      <c r="D26" s="381"/>
      <c r="E26" s="393"/>
      <c r="F26" s="393"/>
      <c r="G26" s="393"/>
      <c r="H26" s="393"/>
      <c r="I26" s="383"/>
    </row>
    <row r="27" spans="1:16" ht="13.5" thickBot="1">
      <c r="A27" s="364"/>
      <c r="B27" s="394"/>
      <c r="C27" s="675" t="s">
        <v>181</v>
      </c>
      <c r="D27" s="676"/>
      <c r="E27" s="381"/>
      <c r="F27" s="395"/>
      <c r="G27" s="395"/>
      <c r="H27" s="395"/>
      <c r="I27" s="383"/>
    </row>
    <row r="28" spans="1:16" ht="15.75" thickBot="1">
      <c r="A28" s="364"/>
      <c r="B28" s="424" t="s">
        <v>282</v>
      </c>
      <c r="C28" s="384" t="s">
        <v>182</v>
      </c>
      <c r="D28" s="384" t="s">
        <v>183</v>
      </c>
      <c r="E28" s="467" t="s">
        <v>202</v>
      </c>
      <c r="F28" s="395"/>
      <c r="G28" s="395"/>
      <c r="H28" s="395"/>
      <c r="I28" s="383"/>
      <c r="K28" s="459"/>
    </row>
    <row r="29" spans="1:16" ht="15">
      <c r="A29" s="364"/>
      <c r="B29" s="426" t="s">
        <v>237</v>
      </c>
      <c r="C29" s="499"/>
      <c r="D29" s="529"/>
      <c r="E29" s="408" t="str">
        <f>IF(Kalkulationsblatt!$B$27="","",C29*$E$23+D29)</f>
        <v/>
      </c>
      <c r="F29" s="395"/>
      <c r="G29" s="395"/>
      <c r="H29" s="395"/>
      <c r="I29" s="383"/>
      <c r="K29" s="459"/>
    </row>
    <row r="30" spans="1:16" ht="15">
      <c r="A30" s="364"/>
      <c r="B30" s="426" t="s">
        <v>215</v>
      </c>
      <c r="C30" s="499"/>
      <c r="D30" s="529"/>
      <c r="E30" s="389" t="str">
        <f>IF(Kalkulationsblatt!$B$27="","",C30*$E$23+D30)</f>
        <v/>
      </c>
      <c r="F30" s="395"/>
      <c r="G30" s="395"/>
      <c r="H30" s="395"/>
      <c r="I30" s="383"/>
      <c r="K30" s="459"/>
    </row>
    <row r="31" spans="1:16">
      <c r="A31" s="364"/>
      <c r="B31" s="427" t="s">
        <v>184</v>
      </c>
      <c r="C31" s="500"/>
      <c r="D31" s="505"/>
      <c r="E31" s="389" t="str">
        <f>IF(Kalkulationsblatt!$B$27="","",C31*$E$23+D31)</f>
        <v/>
      </c>
      <c r="F31" s="395"/>
      <c r="G31" s="395"/>
      <c r="H31" s="395"/>
      <c r="I31" s="383"/>
    </row>
    <row r="32" spans="1:16">
      <c r="A32" s="364"/>
      <c r="B32" s="427" t="s">
        <v>185</v>
      </c>
      <c r="C32" s="500"/>
      <c r="D32" s="505"/>
      <c r="E32" s="389" t="str">
        <f>IF(Kalkulationsblatt!$B$27="","",C32*$E$23+D32)</f>
        <v/>
      </c>
      <c r="F32" s="677"/>
      <c r="G32" s="677"/>
      <c r="H32" s="677"/>
      <c r="I32" s="383"/>
    </row>
    <row r="33" spans="1:11">
      <c r="A33" s="364"/>
      <c r="B33" s="427" t="s">
        <v>217</v>
      </c>
      <c r="C33" s="500"/>
      <c r="D33" s="505"/>
      <c r="E33" s="389" t="str">
        <f>IF(Kalkulationsblatt!$B$27="","",C33*$E$23+D33)</f>
        <v/>
      </c>
      <c r="F33" s="395"/>
      <c r="G33" s="395"/>
      <c r="H33" s="395"/>
      <c r="I33" s="383"/>
    </row>
    <row r="34" spans="1:11">
      <c r="A34" s="364"/>
      <c r="B34" s="427" t="s">
        <v>186</v>
      </c>
      <c r="C34" s="500"/>
      <c r="D34" s="505"/>
      <c r="E34" s="389" t="str">
        <f>IF(Kalkulationsblatt!$B$27="","",C34*$E$23+D34)</f>
        <v/>
      </c>
      <c r="F34" s="395"/>
      <c r="G34" s="395"/>
      <c r="H34" s="395"/>
      <c r="I34" s="383"/>
    </row>
    <row r="35" spans="1:11">
      <c r="A35" s="364"/>
      <c r="B35" s="427" t="s">
        <v>187</v>
      </c>
      <c r="C35" s="500"/>
      <c r="D35" s="505"/>
      <c r="E35" s="389" t="str">
        <f>IF(Kalkulationsblatt!$B$27="","",C35*$E$23+D35)</f>
        <v/>
      </c>
      <c r="F35" s="395"/>
      <c r="G35" s="395"/>
      <c r="H35" s="395"/>
      <c r="I35" s="383"/>
    </row>
    <row r="36" spans="1:11">
      <c r="A36" s="364"/>
      <c r="B36" s="427" t="s">
        <v>275</v>
      </c>
      <c r="C36" s="500"/>
      <c r="D36" s="505"/>
      <c r="E36" s="389" t="str">
        <f>IF(Kalkulationsblatt!$B$27="","",C36*$E$23+D36)</f>
        <v/>
      </c>
      <c r="F36" s="395"/>
      <c r="G36" s="395"/>
      <c r="H36" s="395"/>
      <c r="I36" s="383"/>
    </row>
    <row r="37" spans="1:11">
      <c r="A37" s="364"/>
      <c r="B37" s="427" t="s">
        <v>213</v>
      </c>
      <c r="C37" s="500"/>
      <c r="D37" s="505"/>
      <c r="E37" s="389" t="str">
        <f>IF(Kalkulationsblatt!$B$27="","",C37*$E$23+D37)</f>
        <v/>
      </c>
      <c r="F37" s="395"/>
      <c r="G37" s="395"/>
      <c r="H37" s="395"/>
      <c r="I37" s="383"/>
    </row>
    <row r="38" spans="1:11">
      <c r="A38" s="364"/>
      <c r="B38" s="427" t="s">
        <v>214</v>
      </c>
      <c r="C38" s="500"/>
      <c r="D38" s="505"/>
      <c r="E38" s="389" t="str">
        <f>IF(Kalkulationsblatt!$B$27="","",C38*$E$23+D38)</f>
        <v/>
      </c>
      <c r="F38" s="395"/>
      <c r="G38" s="395"/>
      <c r="H38" s="395"/>
      <c r="I38" s="383"/>
    </row>
    <row r="39" spans="1:11">
      <c r="A39" s="364"/>
      <c r="B39" s="427" t="s">
        <v>188</v>
      </c>
      <c r="C39" s="500"/>
      <c r="D39" s="505"/>
      <c r="E39" s="389" t="str">
        <f>IF(Kalkulationsblatt!$B$27="","",C39*$E$23+D39)</f>
        <v/>
      </c>
      <c r="F39" s="395"/>
      <c r="G39" s="395"/>
      <c r="H39" s="395"/>
      <c r="I39" s="383"/>
    </row>
    <row r="40" spans="1:11">
      <c r="A40" s="364"/>
      <c r="B40" s="427" t="s">
        <v>212</v>
      </c>
      <c r="C40" s="500"/>
      <c r="D40" s="505"/>
      <c r="E40" s="389" t="str">
        <f>IF(Kalkulationsblatt!$B$27="","",C40*$E$23+D40)</f>
        <v/>
      </c>
      <c r="F40" s="395"/>
      <c r="G40" s="395"/>
      <c r="H40" s="395"/>
      <c r="I40" s="383"/>
    </row>
    <row r="41" spans="1:11" ht="13.5" thickBot="1">
      <c r="A41" s="364"/>
      <c r="B41" s="503"/>
      <c r="C41" s="502"/>
      <c r="D41" s="506"/>
      <c r="E41" s="530" t="str">
        <f>IF(Kalkulationsblatt!$B$27="","",C41*$E$23+D41)</f>
        <v/>
      </c>
      <c r="F41" s="399"/>
      <c r="G41" s="399"/>
      <c r="H41" s="398"/>
      <c r="I41" s="383"/>
      <c r="J41" s="437"/>
      <c r="K41" s="438"/>
    </row>
    <row r="42" spans="1:11" ht="14.25" thickTop="1" thickBot="1">
      <c r="A42" s="364"/>
      <c r="B42" s="418" t="s">
        <v>283</v>
      </c>
      <c r="C42" s="419">
        <f>SUM(C29:C41)</f>
        <v>0</v>
      </c>
      <c r="D42" s="420">
        <f>SUM(D29:D41)</f>
        <v>0</v>
      </c>
      <c r="E42" s="468">
        <f>SUM(E29:E41)</f>
        <v>0</v>
      </c>
      <c r="F42" s="678"/>
      <c r="G42" s="678"/>
      <c r="H42" s="678"/>
      <c r="I42" s="383"/>
      <c r="J42" s="437"/>
      <c r="K42" s="438"/>
    </row>
    <row r="43" spans="1:11" ht="15" customHeight="1" thickBot="1">
      <c r="A43" s="364"/>
      <c r="B43" s="418" t="s">
        <v>284</v>
      </c>
      <c r="C43" s="425" t="str">
        <f>IF(E23="","",E42/E23)</f>
        <v/>
      </c>
      <c r="D43" s="411"/>
      <c r="E43" s="411"/>
      <c r="F43" s="667"/>
      <c r="G43" s="667"/>
      <c r="H43" s="667"/>
      <c r="I43" s="383"/>
      <c r="J43" s="437"/>
      <c r="K43" s="438"/>
    </row>
    <row r="44" spans="1:11" ht="13.5" thickBot="1">
      <c r="A44" s="364"/>
      <c r="B44" s="400"/>
      <c r="C44" s="401"/>
      <c r="D44" s="401"/>
      <c r="E44" s="399"/>
      <c r="F44" s="672"/>
      <c r="G44" s="672"/>
      <c r="H44" s="435"/>
      <c r="I44" s="383"/>
      <c r="J44" s="437"/>
      <c r="K44" s="439"/>
    </row>
    <row r="45" spans="1:11" ht="27.6" customHeight="1" thickBot="1">
      <c r="A45" s="364"/>
      <c r="B45" s="428" t="s">
        <v>285</v>
      </c>
      <c r="C45" s="436" t="str">
        <f>IF(C43="","",ROUND(C43/IF(C12=0,1,(C11/C12)),2))</f>
        <v/>
      </c>
      <c r="D45" s="451">
        <f>E42/IF(C12=0,1,(C11/C12))</f>
        <v>0</v>
      </c>
      <c r="E45" s="673"/>
      <c r="F45" s="673"/>
      <c r="G45" s="673"/>
      <c r="H45" s="401"/>
      <c r="I45" s="383"/>
      <c r="J45" s="437"/>
      <c r="K45" s="437"/>
    </row>
    <row r="46" spans="1:11" ht="13.5" thickBot="1">
      <c r="A46" s="366"/>
      <c r="B46" s="391"/>
      <c r="C46" s="402"/>
      <c r="D46" s="403"/>
      <c r="E46" s="404"/>
      <c r="F46" s="404"/>
      <c r="G46" s="366"/>
      <c r="H46" s="366"/>
      <c r="I46" s="366"/>
      <c r="J46" s="437"/>
      <c r="K46" s="437"/>
    </row>
    <row r="47" spans="1:11" ht="13.5" thickBot="1">
      <c r="A47" s="364"/>
      <c r="B47" s="381"/>
      <c r="C47" s="403"/>
      <c r="D47" s="403"/>
      <c r="E47" s="364"/>
      <c r="F47" s="405"/>
      <c r="G47" s="405"/>
      <c r="H47" s="364"/>
      <c r="I47" s="383"/>
      <c r="J47" s="437"/>
      <c r="K47" s="437"/>
    </row>
    <row r="48" spans="1:11" ht="13.9" customHeight="1" thickBot="1">
      <c r="A48" s="364"/>
      <c r="B48" s="406"/>
      <c r="C48" s="668" t="s">
        <v>189</v>
      </c>
      <c r="D48" s="669"/>
      <c r="E48" s="383"/>
      <c r="F48" s="456"/>
      <c r="G48" s="454"/>
      <c r="H48" s="663" t="s">
        <v>238</v>
      </c>
      <c r="I48" s="364"/>
      <c r="J48" s="666"/>
      <c r="K48" s="437"/>
    </row>
    <row r="49" spans="1:11" ht="13.9" customHeight="1" thickBot="1">
      <c r="A49" s="364"/>
      <c r="B49" s="394"/>
      <c r="C49" s="670" t="s">
        <v>181</v>
      </c>
      <c r="D49" s="671"/>
      <c r="E49" s="364"/>
      <c r="F49" s="661" t="s">
        <v>190</v>
      </c>
      <c r="G49" s="381"/>
      <c r="H49" s="664"/>
      <c r="I49" s="364"/>
      <c r="J49" s="666"/>
      <c r="K49" s="437"/>
    </row>
    <row r="50" spans="1:11" ht="15" customHeight="1" thickBot="1">
      <c r="A50" s="364"/>
      <c r="B50" s="424" t="s">
        <v>286</v>
      </c>
      <c r="C50" s="407" t="s">
        <v>182</v>
      </c>
      <c r="D50" s="396" t="s">
        <v>183</v>
      </c>
      <c r="E50" s="467" t="s">
        <v>202</v>
      </c>
      <c r="F50" s="662"/>
      <c r="G50" s="382"/>
      <c r="H50" s="665"/>
      <c r="I50" s="382"/>
      <c r="J50" s="666"/>
      <c r="K50" s="437"/>
    </row>
    <row r="51" spans="1:11">
      <c r="A51" s="364"/>
      <c r="B51" s="469" t="s">
        <v>191</v>
      </c>
      <c r="C51" s="499"/>
      <c r="D51" s="504"/>
      <c r="E51" s="408" t="str">
        <f t="shared" ref="E51:E60" si="0">IF($E$23="","",C51*$E$23+D51)</f>
        <v/>
      </c>
      <c r="F51" s="507" t="s">
        <v>192</v>
      </c>
      <c r="G51" s="461"/>
      <c r="H51" s="462">
        <f t="shared" ref="H51:H60" si="1">IF(F51="Ja",E51/$E$23,0)</f>
        <v>0</v>
      </c>
      <c r="I51" s="409"/>
      <c r="J51" s="453"/>
      <c r="K51" s="437"/>
    </row>
    <row r="52" spans="1:11">
      <c r="A52" s="364"/>
      <c r="B52" s="427" t="s">
        <v>193</v>
      </c>
      <c r="C52" s="500"/>
      <c r="D52" s="505"/>
      <c r="E52" s="389" t="str">
        <f t="shared" si="0"/>
        <v/>
      </c>
      <c r="F52" s="508" t="s">
        <v>192</v>
      </c>
      <c r="G52" s="461"/>
      <c r="H52" s="462">
        <f t="shared" si="1"/>
        <v>0</v>
      </c>
      <c r="I52" s="409"/>
      <c r="J52" s="453"/>
      <c r="K52" s="445"/>
    </row>
    <row r="53" spans="1:11">
      <c r="A53" s="364"/>
      <c r="B53" s="427" t="s">
        <v>244</v>
      </c>
      <c r="C53" s="500"/>
      <c r="D53" s="505"/>
      <c r="E53" s="389" t="str">
        <f t="shared" si="0"/>
        <v/>
      </c>
      <c r="F53" s="508" t="s">
        <v>192</v>
      </c>
      <c r="G53" s="461"/>
      <c r="H53" s="462">
        <f t="shared" si="1"/>
        <v>0</v>
      </c>
      <c r="I53" s="409"/>
      <c r="J53" s="519"/>
      <c r="K53" s="445"/>
    </row>
    <row r="54" spans="1:11">
      <c r="A54" s="364"/>
      <c r="B54" s="427" t="s">
        <v>194</v>
      </c>
      <c r="C54" s="500"/>
      <c r="D54" s="505"/>
      <c r="E54" s="389" t="str">
        <f t="shared" si="0"/>
        <v/>
      </c>
      <c r="F54" s="508" t="s">
        <v>192</v>
      </c>
      <c r="G54" s="461"/>
      <c r="H54" s="462">
        <f t="shared" si="1"/>
        <v>0</v>
      </c>
      <c r="I54" s="409"/>
      <c r="J54" s="453"/>
      <c r="K54" s="445"/>
    </row>
    <row r="55" spans="1:11">
      <c r="A55" s="364"/>
      <c r="B55" s="427" t="s">
        <v>195</v>
      </c>
      <c r="C55" s="500"/>
      <c r="D55" s="505"/>
      <c r="E55" s="389" t="str">
        <f t="shared" si="0"/>
        <v/>
      </c>
      <c r="F55" s="508" t="s">
        <v>192</v>
      </c>
      <c r="G55" s="461"/>
      <c r="H55" s="462">
        <f t="shared" si="1"/>
        <v>0</v>
      </c>
      <c r="I55" s="409"/>
      <c r="J55" s="453"/>
      <c r="K55" s="445"/>
    </row>
    <row r="56" spans="1:11">
      <c r="A56" s="364"/>
      <c r="B56" s="427" t="s">
        <v>216</v>
      </c>
      <c r="C56" s="500"/>
      <c r="D56" s="505"/>
      <c r="E56" s="389" t="str">
        <f t="shared" si="0"/>
        <v/>
      </c>
      <c r="F56" s="509" t="s">
        <v>192</v>
      </c>
      <c r="G56" s="461"/>
      <c r="H56" s="462">
        <f t="shared" si="1"/>
        <v>0</v>
      </c>
      <c r="I56" s="409"/>
      <c r="J56" s="453"/>
      <c r="K56" s="445"/>
    </row>
    <row r="57" spans="1:11">
      <c r="A57" s="364"/>
      <c r="B57" s="427" t="s">
        <v>219</v>
      </c>
      <c r="C57" s="500"/>
      <c r="D57" s="505"/>
      <c r="E57" s="389" t="str">
        <f t="shared" si="0"/>
        <v/>
      </c>
      <c r="F57" s="508" t="s">
        <v>192</v>
      </c>
      <c r="G57" s="461"/>
      <c r="H57" s="462">
        <f t="shared" si="1"/>
        <v>0</v>
      </c>
      <c r="I57" s="409"/>
      <c r="J57" s="453"/>
      <c r="K57" s="437"/>
    </row>
    <row r="58" spans="1:11">
      <c r="A58" s="364"/>
      <c r="B58" s="427" t="s">
        <v>196</v>
      </c>
      <c r="C58" s="500"/>
      <c r="D58" s="505"/>
      <c r="E58" s="389" t="str">
        <f t="shared" si="0"/>
        <v/>
      </c>
      <c r="F58" s="510" t="s">
        <v>192</v>
      </c>
      <c r="G58" s="461"/>
      <c r="H58" s="462">
        <f t="shared" si="1"/>
        <v>0</v>
      </c>
      <c r="I58" s="409"/>
      <c r="J58" s="453"/>
      <c r="K58" s="437"/>
    </row>
    <row r="59" spans="1:11">
      <c r="A59" s="364"/>
      <c r="B59" s="427" t="s">
        <v>197</v>
      </c>
      <c r="C59" s="500"/>
      <c r="D59" s="505"/>
      <c r="E59" s="389" t="str">
        <f t="shared" si="0"/>
        <v/>
      </c>
      <c r="F59" s="508" t="s">
        <v>192</v>
      </c>
      <c r="G59" s="461"/>
      <c r="H59" s="462">
        <f t="shared" si="1"/>
        <v>0</v>
      </c>
      <c r="I59" s="409"/>
      <c r="J59" s="453"/>
      <c r="K59" s="437"/>
    </row>
    <row r="60" spans="1:11" ht="13.5" thickBot="1">
      <c r="A60" s="364"/>
      <c r="B60" s="512"/>
      <c r="C60" s="502"/>
      <c r="D60" s="506"/>
      <c r="E60" s="530" t="str">
        <f t="shared" si="0"/>
        <v/>
      </c>
      <c r="F60" s="511" t="s">
        <v>192</v>
      </c>
      <c r="G60" s="461"/>
      <c r="H60" s="462">
        <f t="shared" si="1"/>
        <v>0</v>
      </c>
      <c r="I60" s="409"/>
      <c r="J60" s="453"/>
      <c r="K60" s="437"/>
    </row>
    <row r="61" spans="1:11" ht="14.25" thickTop="1" thickBot="1">
      <c r="A61" s="364"/>
      <c r="B61" s="418" t="s">
        <v>287</v>
      </c>
      <c r="C61" s="444">
        <f>SUM(C51:C60)</f>
        <v>0</v>
      </c>
      <c r="D61" s="420">
        <f>SUM(D51:D60)</f>
        <v>0</v>
      </c>
      <c r="E61" s="468">
        <f>SUM(E51:E60)</f>
        <v>0</v>
      </c>
      <c r="F61" s="455"/>
      <c r="G61" s="455"/>
      <c r="H61" s="452">
        <f>SUM(H51:H60)</f>
        <v>0</v>
      </c>
      <c r="I61" s="383"/>
      <c r="J61" s="453"/>
      <c r="K61" s="440"/>
    </row>
    <row r="62" spans="1:11" ht="13.5" thickBot="1">
      <c r="A62" s="364"/>
      <c r="B62" s="381"/>
      <c r="C62" s="403"/>
      <c r="D62" s="403"/>
      <c r="E62" s="398"/>
      <c r="F62" s="398"/>
      <c r="G62" s="364"/>
      <c r="H62" s="364"/>
      <c r="I62" s="383"/>
      <c r="J62" s="441"/>
      <c r="K62" s="440"/>
    </row>
    <row r="63" spans="1:11" ht="13.5" thickBot="1">
      <c r="A63" s="364"/>
      <c r="B63" s="406"/>
      <c r="C63" s="668" t="s">
        <v>189</v>
      </c>
      <c r="D63" s="669"/>
      <c r="E63" s="684"/>
      <c r="F63" s="685"/>
      <c r="G63" s="364"/>
      <c r="H63" s="364"/>
      <c r="I63" s="383"/>
    </row>
    <row r="64" spans="1:11" ht="13.5" thickBot="1">
      <c r="A64" s="364"/>
      <c r="B64" s="406"/>
      <c r="C64" s="675" t="s">
        <v>181</v>
      </c>
      <c r="D64" s="676"/>
      <c r="E64" s="686"/>
      <c r="F64" s="686"/>
      <c r="G64" s="364"/>
      <c r="H64" s="364"/>
      <c r="I64" s="383"/>
    </row>
    <row r="65" spans="1:9" ht="13.5" thickBot="1">
      <c r="A65" s="364"/>
      <c r="B65" s="394"/>
      <c r="C65" s="396" t="s">
        <v>182</v>
      </c>
      <c r="D65" s="396" t="s">
        <v>183</v>
      </c>
      <c r="E65" s="397"/>
      <c r="F65" s="397"/>
      <c r="G65" s="364"/>
      <c r="H65" s="364"/>
      <c r="I65" s="383"/>
    </row>
    <row r="66" spans="1:9" ht="13.5" thickBot="1">
      <c r="A66" s="364"/>
      <c r="B66" s="446" t="s">
        <v>207</v>
      </c>
      <c r="C66" s="425" t="str">
        <f>IF(E23="","",C45+C61+D61/E23)</f>
        <v/>
      </c>
      <c r="D66" s="425">
        <f>D45+E61</f>
        <v>0</v>
      </c>
      <c r="E66" s="401"/>
      <c r="F66" s="401"/>
      <c r="G66" s="364"/>
      <c r="H66" s="364"/>
      <c r="I66" s="383"/>
    </row>
    <row r="67" spans="1:9" ht="13.5" thickBot="1">
      <c r="A67" s="364"/>
      <c r="B67" s="447" t="s">
        <v>273</v>
      </c>
      <c r="C67" s="448" t="str">
        <f>IF(C66="","",C66-H61)</f>
        <v/>
      </c>
      <c r="D67" s="448" t="str">
        <f>IF(E23="","",D66-H61*E23)</f>
        <v/>
      </c>
      <c r="E67" s="398"/>
      <c r="F67" s="398"/>
      <c r="G67" s="364"/>
      <c r="H67" s="364"/>
      <c r="I67" s="383"/>
    </row>
    <row r="68" spans="1:9" ht="13.5" thickBot="1">
      <c r="A68" s="364"/>
      <c r="B68" s="449" t="s">
        <v>201</v>
      </c>
      <c r="C68" s="450">
        <f>H61</f>
        <v>0</v>
      </c>
      <c r="D68" s="450" t="str">
        <f>IF(E23="","",H61*E23)</f>
        <v/>
      </c>
      <c r="E68" s="401"/>
      <c r="F68" s="401"/>
      <c r="G68" s="364"/>
      <c r="H68" s="364"/>
      <c r="I68" s="383"/>
    </row>
    <row r="69" spans="1:9">
      <c r="A69" s="364"/>
      <c r="B69" s="381"/>
      <c r="C69" s="398"/>
      <c r="D69" s="398"/>
      <c r="E69" s="364"/>
      <c r="F69" s="364"/>
      <c r="G69" s="364"/>
      <c r="H69" s="364"/>
      <c r="I69" s="383"/>
    </row>
    <row r="70" spans="1:9">
      <c r="A70" s="674" t="s">
        <v>208</v>
      </c>
      <c r="B70" s="674"/>
      <c r="C70" s="674"/>
      <c r="D70" s="674"/>
      <c r="E70" s="674"/>
      <c r="F70" s="674"/>
      <c r="G70" s="674"/>
      <c r="H70" s="674"/>
      <c r="I70" s="674"/>
    </row>
    <row r="71" spans="1:9" ht="13.5" thickBot="1">
      <c r="A71" s="364"/>
      <c r="B71" s="381"/>
      <c r="C71" s="410"/>
      <c r="D71" s="410"/>
      <c r="E71" s="364"/>
      <c r="F71" s="364"/>
      <c r="G71" s="364"/>
      <c r="H71" s="364"/>
      <c r="I71" s="383"/>
    </row>
    <row r="72" spans="1:9" ht="40.15" customHeight="1" thickBot="1">
      <c r="A72" s="364"/>
      <c r="B72" s="442" t="str">
        <f>"Divisor für die Kalkulation einer Fachleistungsstunde "&amp;TEXT(Kalkulationsblatt!E23,"")&amp;""</f>
        <v xml:space="preserve">Divisor für die Kalkulation einer Fachleistungsstunde </v>
      </c>
      <c r="C72" s="443"/>
      <c r="D72" s="466" t="str">
        <f>IF(D67="","",C23-D67)</f>
        <v/>
      </c>
      <c r="E72" s="410"/>
      <c r="F72" s="414"/>
      <c r="G72" s="412"/>
      <c r="H72" s="413"/>
      <c r="I72" s="383"/>
    </row>
  </sheetData>
  <sheetProtection algorithmName="SHA-512" hashValue="hEhJcXCvzK5wBLvTrdfdUnPi0iIbEN2QEgftzmFfTN/EeQhE1mICpJFWy0nfaGmCKKl1fUX7xdlitYEn/GjmJQ==" saltValue="nTrXGAMRgEZUauwYehERAA==" spinCount="100000" sheet="1" objects="1" scenarios="1"/>
  <mergeCells count="25">
    <mergeCell ref="A2:I2"/>
    <mergeCell ref="F4:H4"/>
    <mergeCell ref="F5:H5"/>
    <mergeCell ref="G7:H7"/>
    <mergeCell ref="A70:I70"/>
    <mergeCell ref="C63:D63"/>
    <mergeCell ref="E63:F63"/>
    <mergeCell ref="C64:D64"/>
    <mergeCell ref="E64:F64"/>
    <mergeCell ref="B1:H1"/>
    <mergeCell ref="F49:F50"/>
    <mergeCell ref="H48:H50"/>
    <mergeCell ref="J48:J50"/>
    <mergeCell ref="F43:H43"/>
    <mergeCell ref="C48:D48"/>
    <mergeCell ref="C49:D49"/>
    <mergeCell ref="F44:G44"/>
    <mergeCell ref="E45:G45"/>
    <mergeCell ref="A14:I14"/>
    <mergeCell ref="A25:I25"/>
    <mergeCell ref="C27:D27"/>
    <mergeCell ref="F32:H32"/>
    <mergeCell ref="F42:H42"/>
    <mergeCell ref="G8:H8"/>
    <mergeCell ref="G9:H9"/>
  </mergeCells>
  <dataValidations count="3">
    <dataValidation allowBlank="1" showInputMessage="1" showErrorMessage="1" prompt="Die durchschnittlichen Kalenderwochen pro Jahr ergeben sich durch die Schaltjahre in jedem 4. Jahr_x000a__x000a_365+365+365+366/4= 1461/4= 365,25 Tage hat ein Jahr im Schnitt_x000a__x000a_365,25/7= 52,18 Kalenderwochen pro Jahr" sqref="C5 E5" xr:uid="{0E838905-485D-487C-BF66-6E2107A6DAF9}"/>
    <dataValidation type="decimal" operator="greaterThan" allowBlank="1" showInputMessage="1" showErrorMessage="1" sqref="C6 C29:C41 H44 C51:C60 D18:D21" xr:uid="{37465BB6-F6DD-40A6-ACE2-7524C56C68C0}">
      <formula1>0</formula1>
    </dataValidation>
    <dataValidation type="list" allowBlank="1" showInputMessage="1" showErrorMessage="1" sqref="F51:F60" xr:uid="{694E7330-7F0F-41DE-8340-D139949D6D3F}">
      <formula1>"Nein, Ja"</formula1>
    </dataValidation>
  </dataValidations>
  <pageMargins left="0.7" right="0.7" top="0.78740157499999996" bottom="0.78740157499999996" header="0.3" footer="0.3"/>
  <pageSetup paperSize="9" scale="50" fitToHeight="0" orientation="portrait" r:id="rId1"/>
  <headerFooter>
    <oddFooter xml:space="preserve">&amp;L&amp;"Arial,Standard"&amp;8Datum des Ausdrucks
&amp;D&amp;C&amp;"Arial,Standard"&amp;8Kalkulationsdatei (Version 1.0) 
Assistenzleistungen und Teilhabe an Bildung&amp;R&amp;"Arial,Standard"&amp;8Seite &amp;P von &amp;N&amp;"-,Standard"&amp;11 </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5" id="{199AAD95-2ADE-4AC5-BA82-0580948580E0}">
            <xm:f>Kalkulationsblatt!$E$23="Teilhabe an Bildung"</xm:f>
            <x14:dxf>
              <fill>
                <patternFill>
                  <bgColor theme="7" tint="0.79998168889431442"/>
                </patternFill>
              </fill>
            </x14:dxf>
          </x14:cfRule>
          <xm:sqref>C12 D18:D21 B41 C29:D41 C51:D60 F51:F60 B60</xm:sqref>
        </x14:conditionalFormatting>
        <x14:conditionalFormatting xmlns:xm="http://schemas.microsoft.com/office/excel/2006/main">
          <x14:cfRule type="expression" priority="4" id="{E9DFF01D-C378-4C7F-9F71-664FE76883BF}">
            <xm:f>Kalkulationsblatt!$E$23="Teilhabe an Bildung"</xm:f>
            <x14:dxf>
              <fill>
                <patternFill>
                  <bgColor theme="7" tint="-0.24994659260841701"/>
                </patternFill>
              </fill>
            </x14:dxf>
          </x14:cfRule>
          <xm:sqref>A2:I2 A14:I14 A25:I25 A70:I70 B72:D72</xm:sqref>
        </x14:conditionalFormatting>
        <x14:conditionalFormatting xmlns:xm="http://schemas.microsoft.com/office/excel/2006/main">
          <x14:cfRule type="expression" priority="3" id="{25003DE6-489B-4804-AC9D-65AD294F3483}">
            <xm:f>Kalkulationsblatt!$E$23="sonstige Kräfte"</xm:f>
            <x14:dxf>
              <fill>
                <patternFill>
                  <bgColor theme="6" tint="0.79998168889431442"/>
                </patternFill>
              </fill>
            </x14:dxf>
          </x14:cfRule>
          <xm:sqref>C12 D18:D21 C29:D41 B41 C51:D60 F51:F60 B60</xm:sqref>
        </x14:conditionalFormatting>
        <x14:conditionalFormatting xmlns:xm="http://schemas.microsoft.com/office/excel/2006/main">
          <x14:cfRule type="expression" priority="2" id="{468B5AED-45DA-4223-9FC1-DC5852259E17}">
            <xm:f>Kalkulationsblatt!$E$23="sonstige Kräfte"</xm:f>
            <x14:dxf>
              <fill>
                <patternFill>
                  <bgColor theme="6" tint="-0.24994659260841701"/>
                </patternFill>
              </fill>
            </x14:dxf>
          </x14:cfRule>
          <xm:sqref>A2:I2 A14:I14 A25:I25 A70:I70</xm:sqref>
        </x14:conditionalFormatting>
        <x14:conditionalFormatting xmlns:xm="http://schemas.microsoft.com/office/excel/2006/main">
          <x14:cfRule type="expression" priority="1" id="{CA605A3C-40C5-4785-9476-D1A0A1BC7300}">
            <xm:f>Kalkulationsblatt!$E$23="sonstige Kräfte"</xm:f>
            <x14:dxf>
              <fill>
                <patternFill>
                  <bgColor theme="6" tint="-0.24994659260841701"/>
                </patternFill>
              </fill>
            </x14:dxf>
          </x14:cfRule>
          <xm:sqref>B72:D72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D34"/>
  <sheetViews>
    <sheetView showGridLines="0" zoomScale="90" zoomScaleNormal="90" workbookViewId="0">
      <pane ySplit="6" topLeftCell="A7" activePane="bottomLeft" state="frozen"/>
      <selection pane="bottomLeft" activeCell="S9" sqref="S9"/>
    </sheetView>
  </sheetViews>
  <sheetFormatPr baseColWidth="10" defaultColWidth="11.42578125" defaultRowHeight="14.25"/>
  <cols>
    <col min="1" max="1" width="4.5703125" style="1" customWidth="1"/>
    <col min="2" max="2" width="2.85546875" style="1" hidden="1" customWidth="1"/>
    <col min="3" max="3" width="35.7109375" style="1" customWidth="1"/>
    <col min="4" max="4" width="10.140625" style="3" customWidth="1"/>
    <col min="5" max="5" width="7" style="74" customWidth="1"/>
    <col min="6" max="6" width="6.5703125" style="75" customWidth="1"/>
    <col min="7" max="7" width="1.28515625" style="76" customWidth="1"/>
    <col min="8" max="8" width="12" style="76" customWidth="1"/>
    <col min="9" max="9" width="11" style="76" customWidth="1"/>
    <col min="10" max="10" width="12.140625" style="77" customWidth="1"/>
    <col min="11" max="11" width="11.28515625" style="77" customWidth="1"/>
    <col min="12" max="12" width="12.7109375" style="77" customWidth="1"/>
    <col min="13" max="13" width="11.28515625" style="77" customWidth="1"/>
    <col min="14" max="15" width="10.85546875" style="77" customWidth="1"/>
    <col min="16" max="16" width="12.42578125" style="77" customWidth="1"/>
    <col min="17" max="17" width="13.140625" style="77" customWidth="1"/>
    <col min="18" max="18" width="1" style="77" customWidth="1"/>
    <col min="19" max="19" width="7.85546875" style="1" customWidth="1"/>
    <col min="20" max="20" width="13.28515625" style="60" customWidth="1"/>
    <col min="21" max="21" width="7.85546875" style="1" customWidth="1"/>
    <col min="22" max="22" width="13.28515625" style="60" customWidth="1"/>
    <col min="23" max="23" width="15.42578125" style="1" customWidth="1"/>
    <col min="24" max="24" width="15.42578125" style="241" customWidth="1"/>
    <col min="25" max="25" width="14.7109375" style="1" customWidth="1"/>
    <col min="26" max="16384" width="11.42578125" style="1"/>
  </cols>
  <sheetData>
    <row r="1" spans="1:30" ht="15">
      <c r="A1" s="61"/>
      <c r="B1" s="61"/>
      <c r="C1" s="493" t="str">
        <f>"Kalkulation "&amp;TEXT(Kalkulationsblatt!E23,"")&amp;" "&amp;TEXT(Kalkulationsblatt!C4,"")&amp;" für den Zeitraum von "&amp;TEXT(Kalkulationsblatt!B21,"TT. MMMM JJJJ")&amp;" bis zum "&amp;TEXT(Kalkulationsblatt!E21,"TT. MMMM JJJJ")&amp;""</f>
        <v>Kalkulation   für den Zeitraum von 00. Januar 1900 bis zum 00. Januar 1900</v>
      </c>
      <c r="Z1" s="86"/>
      <c r="AA1" s="86"/>
      <c r="AB1" s="86"/>
      <c r="AC1" s="86"/>
      <c r="AD1" s="86"/>
    </row>
    <row r="2" spans="1:30" ht="27.6" customHeight="1">
      <c r="A2" s="61"/>
      <c r="B2" s="61"/>
      <c r="K2" s="89" t="s">
        <v>249</v>
      </c>
      <c r="Z2" s="86"/>
      <c r="AA2" s="86"/>
      <c r="AB2" s="86"/>
      <c r="AC2" s="86"/>
      <c r="AD2" s="86"/>
    </row>
    <row r="3" spans="1:30" ht="15">
      <c r="A3" s="61"/>
      <c r="B3" s="61"/>
      <c r="K3" s="90" t="s">
        <v>159</v>
      </c>
      <c r="Z3" s="86"/>
      <c r="AA3" s="86"/>
      <c r="AB3" s="86"/>
      <c r="AC3" s="86"/>
      <c r="AD3" s="86"/>
    </row>
    <row r="4" spans="1:30">
      <c r="A4" s="61"/>
      <c r="B4" s="61"/>
      <c r="Z4" s="86"/>
      <c r="AA4" s="86"/>
      <c r="AB4" s="86"/>
      <c r="AC4" s="86"/>
      <c r="AD4" s="86"/>
    </row>
    <row r="5" spans="1:30" s="79" customFormat="1" ht="54.75" customHeight="1">
      <c r="A5" s="1"/>
      <c r="B5" s="1"/>
      <c r="C5" s="691" t="s">
        <v>74</v>
      </c>
      <c r="D5" s="693" t="s">
        <v>157</v>
      </c>
      <c r="E5" s="693" t="s">
        <v>3</v>
      </c>
      <c r="F5" s="695" t="s">
        <v>155</v>
      </c>
      <c r="G5" s="78"/>
      <c r="H5" s="697" t="s">
        <v>223</v>
      </c>
      <c r="I5" s="220" t="s">
        <v>137</v>
      </c>
      <c r="J5" s="697" t="s">
        <v>222</v>
      </c>
      <c r="K5" s="697" t="s">
        <v>94</v>
      </c>
      <c r="L5" s="697" t="s">
        <v>221</v>
      </c>
      <c r="M5" s="697" t="s">
        <v>69</v>
      </c>
      <c r="N5" s="697" t="s">
        <v>247</v>
      </c>
      <c r="O5" s="524" t="s">
        <v>16</v>
      </c>
      <c r="P5" s="699" t="s">
        <v>211</v>
      </c>
      <c r="Q5" s="697" t="s">
        <v>156</v>
      </c>
      <c r="R5" s="151"/>
      <c r="S5" s="653" t="s">
        <v>276</v>
      </c>
      <c r="T5" s="653"/>
      <c r="U5" s="689" t="s">
        <v>72</v>
      </c>
      <c r="V5" s="689"/>
      <c r="W5" s="690" t="s">
        <v>151</v>
      </c>
      <c r="X5" s="687" t="s">
        <v>152</v>
      </c>
      <c r="Z5" s="87"/>
      <c r="AA5" s="87"/>
      <c r="AB5" s="87"/>
      <c r="AC5" s="87"/>
      <c r="AD5" s="88"/>
    </row>
    <row r="6" spans="1:30" s="79" customFormat="1" ht="28.5" customHeight="1">
      <c r="A6" s="5"/>
      <c r="B6" s="5"/>
      <c r="C6" s="692"/>
      <c r="D6" s="694"/>
      <c r="E6" s="694"/>
      <c r="F6" s="696"/>
      <c r="G6" s="80"/>
      <c r="H6" s="698"/>
      <c r="I6" s="336"/>
      <c r="J6" s="698"/>
      <c r="K6" s="698"/>
      <c r="L6" s="698"/>
      <c r="M6" s="698"/>
      <c r="N6" s="698"/>
      <c r="O6" s="127">
        <v>6.65</v>
      </c>
      <c r="P6" s="700"/>
      <c r="Q6" s="698"/>
      <c r="R6" s="150"/>
      <c r="S6" s="85" t="s">
        <v>71</v>
      </c>
      <c r="T6" s="84" t="s">
        <v>70</v>
      </c>
      <c r="U6" s="85" t="s">
        <v>71</v>
      </c>
      <c r="V6" s="84" t="s">
        <v>70</v>
      </c>
      <c r="W6" s="690"/>
      <c r="X6" s="688"/>
      <c r="Z6" s="88"/>
      <c r="AA6" s="88"/>
      <c r="AB6" s="88"/>
      <c r="AC6" s="88"/>
      <c r="AD6" s="88"/>
    </row>
    <row r="7" spans="1:30" s="79" customFormat="1" ht="20.100000000000001" customHeight="1">
      <c r="A7" s="5"/>
      <c r="B7" s="5"/>
      <c r="C7" s="87"/>
      <c r="D7" s="274"/>
      <c r="E7" s="274"/>
      <c r="F7" s="275"/>
      <c r="G7" s="276"/>
      <c r="H7" s="277"/>
      <c r="I7" s="291"/>
      <c r="J7" s="277"/>
      <c r="K7" s="277"/>
      <c r="L7" s="277"/>
      <c r="M7" s="277"/>
      <c r="N7" s="277"/>
      <c r="O7" s="278"/>
      <c r="P7" s="277"/>
      <c r="Q7" s="279"/>
      <c r="R7" s="279"/>
      <c r="S7" s="294"/>
      <c r="T7" s="295"/>
      <c r="U7" s="280"/>
      <c r="V7" s="281"/>
      <c r="W7" s="282"/>
      <c r="X7" s="283"/>
      <c r="Z7" s="88"/>
      <c r="AA7" s="88"/>
      <c r="AB7" s="88"/>
      <c r="AC7" s="88"/>
      <c r="AD7" s="88"/>
    </row>
    <row r="8" spans="1:30" s="91" customFormat="1" ht="20.100000000000001" customHeight="1">
      <c r="A8" s="64" t="s">
        <v>29</v>
      </c>
      <c r="C8" s="65" t="str">
        <f>"Assistenzkräfte "&amp;TEXT(Kalkulationsblatt!E23,"")&amp;""</f>
        <v xml:space="preserve">Assistenzkräfte </v>
      </c>
      <c r="D8" s="117"/>
      <c r="E8" s="118"/>
      <c r="F8" s="119"/>
      <c r="G8" s="120"/>
      <c r="H8" s="120"/>
      <c r="I8" s="120"/>
      <c r="J8" s="121"/>
      <c r="K8" s="121"/>
      <c r="L8" s="121"/>
      <c r="M8" s="121"/>
      <c r="N8" s="121"/>
      <c r="O8" s="121"/>
      <c r="P8" s="121"/>
      <c r="Q8" s="292"/>
      <c r="R8" s="284"/>
      <c r="S8" s="296"/>
      <c r="T8" s="297"/>
      <c r="U8" s="285"/>
      <c r="V8" s="286"/>
      <c r="W8" s="285"/>
      <c r="X8" s="287"/>
    </row>
    <row r="9" spans="1:30" s="67" customFormat="1" ht="20.100000000000001" customHeight="1">
      <c r="C9" s="302"/>
      <c r="D9" s="330"/>
      <c r="E9" s="331"/>
      <c r="F9" s="332"/>
      <c r="G9" s="82"/>
      <c r="H9" s="334"/>
      <c r="I9" s="221" t="str">
        <f t="shared" ref="I9:I13" si="0">IF(H9&gt;0,ROUND(H9*$I$6,2),"")</f>
        <v/>
      </c>
      <c r="J9" s="221" t="str">
        <f>IF(H9&gt;0,H9+I9,"")</f>
        <v/>
      </c>
      <c r="K9" s="334"/>
      <c r="L9" s="334"/>
      <c r="M9" s="334"/>
      <c r="N9" s="113" t="str">
        <f>IF(J9="","",'PK Zeitzuschläge'!$M$38)</f>
        <v/>
      </c>
      <c r="O9" s="334"/>
      <c r="P9" s="114" t="str">
        <f t="shared" ref="P9:P18" si="1">IF(SUM(J9:O9)=0,"",SUM(J9:O9))</f>
        <v/>
      </c>
      <c r="Q9" s="114" t="str">
        <f>IF(P9="","",ROUND(P9*12,2))</f>
        <v/>
      </c>
      <c r="R9" s="93"/>
      <c r="S9" s="335"/>
      <c r="T9" s="115" t="str">
        <f t="shared" ref="T9:T15" si="2">IF(S9="","",ROUND(S9*P9,2))</f>
        <v/>
      </c>
      <c r="U9" s="335"/>
      <c r="V9" s="115" t="str">
        <f>IF(U9&gt;0,ROUND(Q9*U9,2),"")</f>
        <v/>
      </c>
      <c r="W9" s="240" t="str">
        <f>IF(SUM(V9,T9,Q9)&gt;0,SUM(V9,T9,Q9),"")</f>
        <v/>
      </c>
      <c r="X9" s="242" t="str">
        <f>IF(W9="","",ROUND(W9/12,2))</f>
        <v/>
      </c>
    </row>
    <row r="10" spans="1:30" s="67" customFormat="1" ht="20.100000000000001" customHeight="1">
      <c r="C10" s="302"/>
      <c r="D10" s="333"/>
      <c r="E10" s="331"/>
      <c r="F10" s="332"/>
      <c r="G10" s="82"/>
      <c r="H10" s="334"/>
      <c r="I10" s="221" t="str">
        <f t="shared" si="0"/>
        <v/>
      </c>
      <c r="J10" s="221" t="str">
        <f t="shared" ref="J10:J12" si="3">IF(H10&gt;0,H10+I10,"")</f>
        <v/>
      </c>
      <c r="K10" s="334"/>
      <c r="L10" s="334"/>
      <c r="M10" s="334"/>
      <c r="N10" s="113" t="str">
        <f>IF(J10="","",'PK Zeitzuschläge'!$M$38)</f>
        <v/>
      </c>
      <c r="O10" s="334"/>
      <c r="P10" s="114" t="str">
        <f t="shared" si="1"/>
        <v/>
      </c>
      <c r="Q10" s="114" t="str">
        <f t="shared" ref="Q10:Q12" si="4">IF(P10="","",ROUND(P10*12,2))</f>
        <v/>
      </c>
      <c r="R10" s="93"/>
      <c r="S10" s="335"/>
      <c r="T10" s="115" t="str">
        <f t="shared" si="2"/>
        <v/>
      </c>
      <c r="U10" s="335"/>
      <c r="V10" s="115" t="str">
        <f t="shared" ref="V10:V13" si="5">IF(U10&gt;0,ROUND(Q10*U10,2),"")</f>
        <v/>
      </c>
      <c r="W10" s="240" t="str">
        <f t="shared" ref="W10:W12" si="6">IF(SUM(V10,T10,Q10)&gt;0,SUM(V10,T10,Q10),"")</f>
        <v/>
      </c>
      <c r="X10" s="242" t="str">
        <f t="shared" ref="X10:X12" si="7">IF(W10="","",ROUND(W10/12,2))</f>
        <v/>
      </c>
    </row>
    <row r="11" spans="1:30" s="67" customFormat="1" ht="20.100000000000001" customHeight="1">
      <c r="C11" s="302"/>
      <c r="D11" s="333"/>
      <c r="E11" s="331"/>
      <c r="F11" s="332"/>
      <c r="G11" s="82"/>
      <c r="H11" s="334"/>
      <c r="I11" s="221" t="str">
        <f t="shared" si="0"/>
        <v/>
      </c>
      <c r="J11" s="221" t="str">
        <f t="shared" si="3"/>
        <v/>
      </c>
      <c r="K11" s="334"/>
      <c r="L11" s="334"/>
      <c r="M11" s="334"/>
      <c r="N11" s="113" t="str">
        <f>IF(J11="","",'PK Zeitzuschläge'!$M$38)</f>
        <v/>
      </c>
      <c r="O11" s="334"/>
      <c r="P11" s="114" t="str">
        <f t="shared" si="1"/>
        <v/>
      </c>
      <c r="Q11" s="114" t="str">
        <f t="shared" si="4"/>
        <v/>
      </c>
      <c r="R11" s="93"/>
      <c r="S11" s="335"/>
      <c r="T11" s="115" t="str">
        <f t="shared" si="2"/>
        <v/>
      </c>
      <c r="U11" s="335"/>
      <c r="V11" s="115" t="str">
        <f t="shared" si="5"/>
        <v/>
      </c>
      <c r="W11" s="240" t="str">
        <f t="shared" si="6"/>
        <v/>
      </c>
      <c r="X11" s="242" t="str">
        <f t="shared" si="7"/>
        <v/>
      </c>
    </row>
    <row r="12" spans="1:30" s="67" customFormat="1" ht="20.100000000000001" customHeight="1">
      <c r="C12" s="302"/>
      <c r="D12" s="330"/>
      <c r="E12" s="331"/>
      <c r="F12" s="332"/>
      <c r="G12" s="82"/>
      <c r="H12" s="334"/>
      <c r="I12" s="221" t="str">
        <f t="shared" si="0"/>
        <v/>
      </c>
      <c r="J12" s="221" t="str">
        <f t="shared" si="3"/>
        <v/>
      </c>
      <c r="K12" s="334"/>
      <c r="L12" s="334"/>
      <c r="M12" s="334"/>
      <c r="N12" s="113" t="str">
        <f>IF(J12="","",'PK Zeitzuschläge'!$M$38)</f>
        <v/>
      </c>
      <c r="O12" s="334"/>
      <c r="P12" s="114" t="str">
        <f t="shared" si="1"/>
        <v/>
      </c>
      <c r="Q12" s="114" t="str">
        <f t="shared" si="4"/>
        <v/>
      </c>
      <c r="R12" s="93"/>
      <c r="S12" s="335"/>
      <c r="T12" s="115" t="str">
        <f t="shared" si="2"/>
        <v/>
      </c>
      <c r="U12" s="335"/>
      <c r="V12" s="115" t="str">
        <f t="shared" si="5"/>
        <v/>
      </c>
      <c r="W12" s="240" t="str">
        <f t="shared" si="6"/>
        <v/>
      </c>
      <c r="X12" s="242" t="str">
        <f t="shared" si="7"/>
        <v/>
      </c>
    </row>
    <row r="13" spans="1:30" s="67" customFormat="1" ht="20.100000000000001" customHeight="1">
      <c r="C13" s="302"/>
      <c r="D13" s="330"/>
      <c r="E13" s="331"/>
      <c r="F13" s="332"/>
      <c r="G13" s="82"/>
      <c r="H13" s="334"/>
      <c r="I13" s="221" t="str">
        <f t="shared" si="0"/>
        <v/>
      </c>
      <c r="J13" s="221" t="str">
        <f t="shared" ref="J13" si="8">IF(H13&gt;0,H13+I13,"")</f>
        <v/>
      </c>
      <c r="K13" s="334"/>
      <c r="L13" s="334"/>
      <c r="M13" s="334"/>
      <c r="N13" s="113" t="str">
        <f>IF(J13="","",'PK Zeitzuschläge'!$M$38)</f>
        <v/>
      </c>
      <c r="O13" s="334"/>
      <c r="P13" s="114" t="str">
        <f t="shared" si="1"/>
        <v/>
      </c>
      <c r="Q13" s="114" t="str">
        <f t="shared" ref="Q13" si="9">IF(P13="","",ROUND(P13*12,2))</f>
        <v/>
      </c>
      <c r="R13" s="93"/>
      <c r="S13" s="335"/>
      <c r="T13" s="115" t="str">
        <f t="shared" si="2"/>
        <v/>
      </c>
      <c r="U13" s="335"/>
      <c r="V13" s="115" t="str">
        <f t="shared" si="5"/>
        <v/>
      </c>
      <c r="W13" s="240" t="str">
        <f t="shared" ref="W13" si="10">IF(SUM(V13,T13,Q13)&gt;0,SUM(V13,T13,Q13),"")</f>
        <v/>
      </c>
      <c r="X13" s="242" t="str">
        <f t="shared" ref="X13" si="11">IF(W13="","",ROUND(W13/12,2))</f>
        <v/>
      </c>
    </row>
    <row r="14" spans="1:30" s="67" customFormat="1" ht="20.100000000000001" customHeight="1">
      <c r="C14" s="71" t="str">
        <f>IF('PK Zusammenfassung'!C15=0,"",'PK Zusammenfassung'!C15)</f>
        <v>Auszubildende/ Studierende</v>
      </c>
      <c r="D14" s="330"/>
      <c r="E14" s="331"/>
      <c r="F14" s="332"/>
      <c r="G14" s="82"/>
      <c r="H14" s="334"/>
      <c r="I14" s="221" t="str">
        <f t="shared" ref="I14:I15" si="12">IF(H14&gt;0,ROUND(H14*$I$6,2),"")</f>
        <v/>
      </c>
      <c r="J14" s="221" t="str">
        <f t="shared" ref="J14:J18" si="13">IF(H14&gt;0,H14+I14,"")</f>
        <v/>
      </c>
      <c r="K14" s="334"/>
      <c r="L14" s="334"/>
      <c r="M14" s="334"/>
      <c r="N14" s="168"/>
      <c r="O14" s="334"/>
      <c r="P14" s="114" t="str">
        <f t="shared" si="1"/>
        <v/>
      </c>
      <c r="Q14" s="114" t="str">
        <f t="shared" ref="Q14:Q18" si="14">IF(P14="","",ROUND(P14*12,2))</f>
        <v/>
      </c>
      <c r="R14" s="93"/>
      <c r="S14" s="335"/>
      <c r="T14" s="115" t="str">
        <f t="shared" si="2"/>
        <v/>
      </c>
      <c r="U14" s="335"/>
      <c r="V14" s="115" t="str">
        <f t="shared" ref="V14:V15" si="15">IF(U14&gt;0,ROUND(Q14*U14,2),"")</f>
        <v/>
      </c>
      <c r="W14" s="240" t="str">
        <f t="shared" ref="W14:W15" si="16">IF(SUM(V14,T14,Q14)&gt;0,SUM(V14,T14,Q14),"")</f>
        <v/>
      </c>
      <c r="X14" s="242" t="str">
        <f t="shared" ref="X14:X15" si="17">IF(W14="","",ROUND(W14/12,2))</f>
        <v/>
      </c>
    </row>
    <row r="15" spans="1:30" s="67" customFormat="1" ht="20.100000000000001" customHeight="1">
      <c r="C15" s="71" t="str">
        <f>IF('PK Zusammenfassung'!C16=0,"",'PK Zusammenfassung'!C16)</f>
        <v>Praktikant:innen</v>
      </c>
      <c r="D15" s="330"/>
      <c r="E15" s="331"/>
      <c r="F15" s="332"/>
      <c r="G15" s="82"/>
      <c r="H15" s="334"/>
      <c r="I15" s="221" t="str">
        <f t="shared" si="12"/>
        <v/>
      </c>
      <c r="J15" s="221" t="str">
        <f t="shared" si="13"/>
        <v/>
      </c>
      <c r="K15" s="334"/>
      <c r="L15" s="334"/>
      <c r="M15" s="334"/>
      <c r="N15" s="168"/>
      <c r="O15" s="334"/>
      <c r="P15" s="114" t="str">
        <f t="shared" si="1"/>
        <v/>
      </c>
      <c r="Q15" s="114" t="str">
        <f t="shared" si="14"/>
        <v/>
      </c>
      <c r="R15" s="93"/>
      <c r="S15" s="335"/>
      <c r="T15" s="115" t="str">
        <f t="shared" si="2"/>
        <v/>
      </c>
      <c r="U15" s="335"/>
      <c r="V15" s="115" t="str">
        <f t="shared" si="15"/>
        <v/>
      </c>
      <c r="W15" s="240" t="str">
        <f t="shared" si="16"/>
        <v/>
      </c>
      <c r="X15" s="242" t="str">
        <f t="shared" si="17"/>
        <v/>
      </c>
    </row>
    <row r="16" spans="1:30" s="67" customFormat="1" ht="20.100000000000001" customHeight="1">
      <c r="C16" s="71" t="str">
        <f>IF('PK Zusammenfassung'!C17=0,"",'PK Zusammenfassung'!C17)</f>
        <v>MiniJob</v>
      </c>
      <c r="D16" s="330"/>
      <c r="E16" s="331"/>
      <c r="F16" s="332"/>
      <c r="G16" s="82"/>
      <c r="H16" s="334"/>
      <c r="I16" s="164"/>
      <c r="J16" s="221" t="str">
        <f t="shared" si="13"/>
        <v/>
      </c>
      <c r="K16" s="164"/>
      <c r="L16" s="164"/>
      <c r="M16" s="164"/>
      <c r="N16" s="168"/>
      <c r="O16" s="164"/>
      <c r="P16" s="114" t="str">
        <f t="shared" si="1"/>
        <v/>
      </c>
      <c r="Q16" s="114" t="str">
        <f t="shared" si="14"/>
        <v/>
      </c>
      <c r="R16" s="93"/>
      <c r="S16" s="165"/>
      <c r="T16" s="166"/>
      <c r="U16" s="167"/>
      <c r="V16" s="166"/>
      <c r="W16" s="240" t="str">
        <f t="shared" ref="W16:W18" si="18">IF(SUM(V16,T16,Q16)&gt;0,SUM(V16,T16,Q16),"")</f>
        <v/>
      </c>
      <c r="X16" s="242" t="str">
        <f t="shared" ref="X16:X18" si="19">IF(W16="","",ROUND(W16/12,2))</f>
        <v/>
      </c>
    </row>
    <row r="17" spans="1:24" s="67" customFormat="1" ht="20.100000000000001" customHeight="1">
      <c r="C17" s="71" t="str">
        <f>IF('PK Zusammenfassung'!C18=0,"",'PK Zusammenfassung'!C18)</f>
        <v>Honorare</v>
      </c>
      <c r="D17" s="330"/>
      <c r="E17" s="331"/>
      <c r="F17" s="332"/>
      <c r="G17" s="82"/>
      <c r="H17" s="334"/>
      <c r="I17" s="164"/>
      <c r="J17" s="221" t="str">
        <f t="shared" si="13"/>
        <v/>
      </c>
      <c r="K17" s="164"/>
      <c r="L17" s="164"/>
      <c r="M17" s="164"/>
      <c r="N17" s="168"/>
      <c r="O17" s="164"/>
      <c r="P17" s="114" t="str">
        <f t="shared" si="1"/>
        <v/>
      </c>
      <c r="Q17" s="114" t="str">
        <f t="shared" si="14"/>
        <v/>
      </c>
      <c r="R17" s="93"/>
      <c r="S17" s="165"/>
      <c r="T17" s="166"/>
      <c r="U17" s="167"/>
      <c r="V17" s="166"/>
      <c r="W17" s="240" t="str">
        <f t="shared" si="18"/>
        <v/>
      </c>
      <c r="X17" s="242" t="str">
        <f t="shared" si="19"/>
        <v/>
      </c>
    </row>
    <row r="18" spans="1:24" s="67" customFormat="1" ht="20.100000000000001" customHeight="1">
      <c r="C18" s="71" t="str">
        <f>IF('PK Zusammenfassung'!C19=0,"",'PK Zusammenfassung'!C19)</f>
        <v>BFD/ FSJ</v>
      </c>
      <c r="D18" s="330"/>
      <c r="E18" s="331"/>
      <c r="F18" s="332"/>
      <c r="G18" s="82"/>
      <c r="H18" s="334"/>
      <c r="I18" s="164"/>
      <c r="J18" s="221" t="str">
        <f t="shared" si="13"/>
        <v/>
      </c>
      <c r="K18" s="164"/>
      <c r="L18" s="164"/>
      <c r="M18" s="164"/>
      <c r="N18" s="168"/>
      <c r="O18" s="164"/>
      <c r="P18" s="114" t="str">
        <f t="shared" si="1"/>
        <v/>
      </c>
      <c r="Q18" s="114" t="str">
        <f t="shared" si="14"/>
        <v/>
      </c>
      <c r="R18" s="93"/>
      <c r="S18" s="165"/>
      <c r="T18" s="166"/>
      <c r="U18" s="167"/>
      <c r="V18" s="166"/>
      <c r="W18" s="240" t="str">
        <f t="shared" si="18"/>
        <v/>
      </c>
      <c r="X18" s="242" t="str">
        <f t="shared" si="19"/>
        <v/>
      </c>
    </row>
    <row r="19" spans="1:24" s="91" customFormat="1" ht="20.100000000000001" customHeight="1">
      <c r="A19" s="67"/>
      <c r="B19" s="67"/>
      <c r="C19" s="67"/>
      <c r="D19" s="117"/>
      <c r="E19" s="118"/>
      <c r="F19" s="119"/>
      <c r="G19" s="120"/>
      <c r="H19" s="120"/>
      <c r="I19" s="120"/>
      <c r="J19" s="121"/>
      <c r="K19" s="121"/>
      <c r="L19" s="121"/>
      <c r="M19" s="121"/>
      <c r="N19" s="121"/>
      <c r="O19" s="121"/>
      <c r="P19" s="121"/>
      <c r="Q19" s="121"/>
      <c r="R19" s="121"/>
      <c r="S19" s="83"/>
      <c r="T19" s="69"/>
      <c r="U19" s="83"/>
      <c r="V19" s="69"/>
      <c r="W19" s="83"/>
      <c r="X19" s="243"/>
    </row>
    <row r="20" spans="1:24" s="67" customFormat="1" ht="20.100000000000001" customHeight="1">
      <c r="A20" s="64" t="s">
        <v>250</v>
      </c>
      <c r="C20" s="65" t="s">
        <v>0</v>
      </c>
      <c r="D20" s="122"/>
      <c r="E20" s="123"/>
      <c r="F20" s="124"/>
      <c r="G20" s="124"/>
      <c r="H20" s="124"/>
      <c r="I20" s="124"/>
      <c r="J20" s="125"/>
      <c r="K20" s="125"/>
      <c r="L20" s="125"/>
      <c r="M20" s="125"/>
      <c r="N20" s="125"/>
      <c r="O20" s="125"/>
      <c r="P20" s="125"/>
      <c r="Q20" s="125"/>
      <c r="R20" s="125"/>
      <c r="S20" s="126"/>
      <c r="T20" s="116"/>
      <c r="U20" s="126"/>
      <c r="V20" s="116"/>
      <c r="W20" s="116"/>
      <c r="X20" s="244"/>
    </row>
    <row r="21" spans="1:24" s="67" customFormat="1" ht="20.100000000000001" customHeight="1">
      <c r="C21" s="302"/>
      <c r="D21" s="330"/>
      <c r="E21" s="331"/>
      <c r="F21" s="332"/>
      <c r="G21" s="82"/>
      <c r="H21" s="334"/>
      <c r="I21" s="221" t="str">
        <f>IF(H21&gt;0,ROUND(H21*$I$6,2),"")</f>
        <v/>
      </c>
      <c r="J21" s="221" t="str">
        <f>IF(H21&gt;0,H21+I21,"")</f>
        <v/>
      </c>
      <c r="K21" s="334"/>
      <c r="L21" s="334"/>
      <c r="M21" s="334"/>
      <c r="N21" s="164"/>
      <c r="O21" s="334"/>
      <c r="P21" s="114" t="str">
        <f>IF(SUM(J21:O21)=0,"",SUM(J21:O21))</f>
        <v/>
      </c>
      <c r="Q21" s="114" t="str">
        <f>IF(P21="","",ROUND(P21*12,2))</f>
        <v/>
      </c>
      <c r="R21" s="93"/>
      <c r="S21" s="335"/>
      <c r="T21" s="115" t="str">
        <f>IF(S21="","",ROUND(S21*P21,2))</f>
        <v/>
      </c>
      <c r="U21" s="335"/>
      <c r="V21" s="115" t="str">
        <f t="shared" ref="V21:V22" si="20">IF(U21&gt;0,ROUND(Q21*U21,2),"")</f>
        <v/>
      </c>
      <c r="W21" s="115" t="str">
        <f>IF(SUM(V21,T21,Q21)&gt;0,SUM(V21,T21,Q21),"")</f>
        <v/>
      </c>
      <c r="X21" s="242" t="str">
        <f>IF(W21="","",ROUND(W21/12,2))</f>
        <v/>
      </c>
    </row>
    <row r="22" spans="1:24" s="67" customFormat="1" ht="20.100000000000001" customHeight="1">
      <c r="C22" s="302"/>
      <c r="D22" s="330"/>
      <c r="E22" s="331"/>
      <c r="F22" s="332"/>
      <c r="G22" s="82"/>
      <c r="H22" s="334"/>
      <c r="I22" s="221" t="str">
        <f>IF(H22&gt;0,ROUND(H22*$I$6,2),"")</f>
        <v/>
      </c>
      <c r="J22" s="221" t="str">
        <f>IF(H22&gt;0,H22+I22,"")</f>
        <v/>
      </c>
      <c r="K22" s="334"/>
      <c r="L22" s="334"/>
      <c r="M22" s="334"/>
      <c r="N22" s="164"/>
      <c r="O22" s="334"/>
      <c r="P22" s="114" t="str">
        <f>IF(SUM(J22:O22)=0,"",SUM(J22:O22))</f>
        <v/>
      </c>
      <c r="Q22" s="114" t="str">
        <f>IF(P22="","",ROUND(P22*12,2))</f>
        <v/>
      </c>
      <c r="R22" s="93"/>
      <c r="S22" s="335"/>
      <c r="T22" s="115" t="str">
        <f>IF(S22="","",ROUND(S22*P22,2))</f>
        <v/>
      </c>
      <c r="U22" s="335"/>
      <c r="V22" s="115" t="str">
        <f t="shared" si="20"/>
        <v/>
      </c>
      <c r="W22" s="115" t="str">
        <f>IF(SUM(V22,T22,Q22)&gt;0,SUM(V22,T22,Q22),"")</f>
        <v/>
      </c>
      <c r="X22" s="242" t="str">
        <f>IF(W22="","",ROUND(W22/12,2))</f>
        <v/>
      </c>
    </row>
    <row r="23" spans="1:24" s="67" customFormat="1" ht="20.100000000000001" customHeight="1">
      <c r="C23" s="73"/>
      <c r="D23" s="122"/>
      <c r="E23" s="123"/>
      <c r="F23" s="124"/>
      <c r="G23" s="124"/>
      <c r="H23" s="124"/>
      <c r="I23" s="124"/>
      <c r="J23" s="125"/>
      <c r="K23" s="125"/>
      <c r="L23" s="125"/>
      <c r="M23" s="125"/>
      <c r="N23" s="125"/>
      <c r="O23" s="125"/>
      <c r="P23" s="125"/>
      <c r="Q23" s="125"/>
      <c r="R23" s="125"/>
      <c r="S23" s="126"/>
      <c r="T23" s="116"/>
      <c r="U23" s="126"/>
      <c r="V23" s="116"/>
      <c r="W23" s="116"/>
      <c r="X23" s="244"/>
    </row>
    <row r="24" spans="1:24" s="67" customFormat="1" ht="20.100000000000001" customHeight="1">
      <c r="A24" s="64" t="s">
        <v>33</v>
      </c>
      <c r="C24" s="65" t="s">
        <v>1</v>
      </c>
      <c r="D24" s="122"/>
      <c r="E24" s="123"/>
      <c r="F24" s="124"/>
      <c r="G24" s="124"/>
      <c r="H24" s="124"/>
      <c r="I24" s="124"/>
      <c r="J24" s="125"/>
      <c r="K24" s="125"/>
      <c r="L24" s="125"/>
      <c r="M24" s="125"/>
      <c r="N24" s="125"/>
      <c r="O24" s="125"/>
      <c r="P24" s="125"/>
      <c r="Q24" s="125"/>
      <c r="R24" s="125"/>
      <c r="S24" s="126"/>
      <c r="T24" s="116"/>
      <c r="U24" s="126"/>
      <c r="V24" s="116"/>
      <c r="W24" s="116"/>
      <c r="X24" s="244"/>
    </row>
    <row r="25" spans="1:24" s="67" customFormat="1" ht="20.100000000000001" customHeight="1">
      <c r="C25" s="302"/>
      <c r="D25" s="330"/>
      <c r="E25" s="331"/>
      <c r="F25" s="332"/>
      <c r="G25" s="82"/>
      <c r="H25" s="334"/>
      <c r="I25" s="221" t="str">
        <f>IF(H25&gt;0,ROUND(H25*$I$6,2),"")</f>
        <v/>
      </c>
      <c r="J25" s="221" t="str">
        <f>IF(H25&gt;0,H25+I25,"")</f>
        <v/>
      </c>
      <c r="K25" s="334"/>
      <c r="L25" s="334"/>
      <c r="M25" s="334"/>
      <c r="N25" s="164"/>
      <c r="O25" s="334"/>
      <c r="P25" s="114" t="str">
        <f>IF(SUM(J25:O25)=0,"",SUM(J25:O25))</f>
        <v/>
      </c>
      <c r="Q25" s="114" t="str">
        <f>IF(P25="","",ROUND(P25*12,2))</f>
        <v/>
      </c>
      <c r="R25" s="93"/>
      <c r="S25" s="335"/>
      <c r="T25" s="115" t="str">
        <f>IF(S25="","",ROUND(S25*P25,2))</f>
        <v/>
      </c>
      <c r="U25" s="335"/>
      <c r="V25" s="115" t="str">
        <f t="shared" ref="V25:V27" si="21">IF(U25&gt;0,ROUND(Q25*U25,2),"")</f>
        <v/>
      </c>
      <c r="W25" s="115" t="str">
        <f>IF(SUM(V25,T25,Q25)&gt;0,SUM(V25,T25,Q25),"")</f>
        <v/>
      </c>
      <c r="X25" s="242" t="str">
        <f>IF(W25="","",ROUND(W25/12,2))</f>
        <v/>
      </c>
    </row>
    <row r="26" spans="1:24" s="91" customFormat="1" ht="20.100000000000001" customHeight="1">
      <c r="A26" s="67"/>
      <c r="B26" s="67"/>
      <c r="C26" s="302"/>
      <c r="D26" s="330"/>
      <c r="E26" s="331"/>
      <c r="F26" s="332"/>
      <c r="G26" s="82"/>
      <c r="H26" s="334"/>
      <c r="I26" s="221" t="str">
        <f>IF(H26&gt;0,ROUND(H26*$I$6,2),"")</f>
        <v/>
      </c>
      <c r="J26" s="221" t="str">
        <f>IF(H26&gt;0,H26+I26,"")</f>
        <v/>
      </c>
      <c r="K26" s="334"/>
      <c r="L26" s="334"/>
      <c r="M26" s="334"/>
      <c r="N26" s="164"/>
      <c r="O26" s="334"/>
      <c r="P26" s="114" t="str">
        <f>IF(SUM(J26:O26)=0,"",SUM(J26:O26))</f>
        <v/>
      </c>
      <c r="Q26" s="114" t="str">
        <f>IF(P26="","",ROUND(P26*12,2))</f>
        <v/>
      </c>
      <c r="R26" s="93"/>
      <c r="S26" s="335"/>
      <c r="T26" s="115" t="str">
        <f>IF(S26="","",ROUND(S26*P26,2))</f>
        <v/>
      </c>
      <c r="U26" s="335"/>
      <c r="V26" s="115" t="str">
        <f t="shared" si="21"/>
        <v/>
      </c>
      <c r="W26" s="115" t="str">
        <f>IF(SUM(V26,T26,Q26)&gt;0,SUM(V26,T26,Q26),"")</f>
        <v/>
      </c>
      <c r="X26" s="242" t="str">
        <f>IF(W26="","",ROUND(W26/12,2))</f>
        <v/>
      </c>
    </row>
    <row r="27" spans="1:24" s="91" customFormat="1" ht="20.100000000000001" customHeight="1">
      <c r="A27" s="67"/>
      <c r="B27" s="67"/>
      <c r="C27" s="302"/>
      <c r="D27" s="330"/>
      <c r="E27" s="331"/>
      <c r="F27" s="332"/>
      <c r="G27" s="82"/>
      <c r="H27" s="334"/>
      <c r="I27" s="221" t="str">
        <f>IF(H27&gt;0,ROUND(H27*$I$6,2),"")</f>
        <v/>
      </c>
      <c r="J27" s="221" t="str">
        <f>IF(H27&gt;0,H27+I27,"")</f>
        <v/>
      </c>
      <c r="K27" s="334"/>
      <c r="L27" s="334"/>
      <c r="M27" s="334"/>
      <c r="N27" s="164"/>
      <c r="O27" s="334"/>
      <c r="P27" s="114" t="str">
        <f>IF(SUM(J27:O27)=0,"",SUM(J27:O27))</f>
        <v/>
      </c>
      <c r="Q27" s="114" t="str">
        <f>IF(P27="","",ROUND(P27*12,2))</f>
        <v/>
      </c>
      <c r="R27" s="93"/>
      <c r="S27" s="335"/>
      <c r="T27" s="115" t="str">
        <f>IF(S27="","",ROUND(S27*P27,2))</f>
        <v/>
      </c>
      <c r="U27" s="335"/>
      <c r="V27" s="115" t="str">
        <f t="shared" si="21"/>
        <v/>
      </c>
      <c r="W27" s="115" t="str">
        <f>IF(SUM(V27,T27,Q27)&gt;0,SUM(V27,T27,Q27),"")</f>
        <v/>
      </c>
      <c r="X27" s="242" t="str">
        <f>IF(W27="","",ROUND(W27/12,2))</f>
        <v/>
      </c>
    </row>
    <row r="28" spans="1:24" s="67" customFormat="1" ht="20.100000000000001" customHeight="1">
      <c r="C28" s="71" t="str">
        <f>IF('PK Zusammenfassung'!C31=0,"",'PK Zusammenfassung'!C31)</f>
        <v>MiniJob</v>
      </c>
      <c r="D28" s="330"/>
      <c r="E28" s="331"/>
      <c r="F28" s="332"/>
      <c r="G28" s="82"/>
      <c r="H28" s="334"/>
      <c r="I28" s="164"/>
      <c r="J28" s="221" t="str">
        <f>IF(H28&gt;0,H28+I28,"")</f>
        <v/>
      </c>
      <c r="K28" s="164"/>
      <c r="L28" s="164"/>
      <c r="M28" s="164"/>
      <c r="N28" s="168"/>
      <c r="O28" s="164"/>
      <c r="P28" s="114" t="str">
        <f>IF(SUM(J28:O28)=0,"",SUM(J28:O28))</f>
        <v/>
      </c>
      <c r="Q28" s="114" t="str">
        <f>IF(P28="","",ROUND(P28*12,2))</f>
        <v/>
      </c>
      <c r="R28" s="93"/>
      <c r="S28" s="165"/>
      <c r="T28" s="166"/>
      <c r="U28" s="167"/>
      <c r="V28" s="166"/>
      <c r="W28" s="115" t="str">
        <f>IF(SUM(V28,T28,Q28)&gt;0,SUM(V28,T28,Q28),"")</f>
        <v/>
      </c>
      <c r="X28" s="242" t="str">
        <f>IF(W28="","",ROUND(W28/12,2))</f>
        <v/>
      </c>
    </row>
    <row r="29" spans="1:24" s="67" customFormat="1" ht="20.100000000000001" customHeight="1">
      <c r="C29" s="71" t="str">
        <f>IF('PK Zusammenfassung'!C32=0,"",'PK Zusammenfassung'!C32)</f>
        <v>Honorare</v>
      </c>
      <c r="D29" s="330"/>
      <c r="E29" s="331"/>
      <c r="F29" s="332"/>
      <c r="G29" s="82"/>
      <c r="H29" s="334"/>
      <c r="I29" s="164"/>
      <c r="J29" s="221" t="str">
        <f>IF(H29&gt;0,H29+I29,"")</f>
        <v/>
      </c>
      <c r="K29" s="164"/>
      <c r="L29" s="164"/>
      <c r="M29" s="164"/>
      <c r="N29" s="164"/>
      <c r="O29" s="164"/>
      <c r="P29" s="114" t="str">
        <f>IF(SUM(J29:O29)=0,"",SUM(J29:O29))</f>
        <v/>
      </c>
      <c r="Q29" s="114" t="str">
        <f>IF(P29="","",ROUND(P29*12,2))</f>
        <v/>
      </c>
      <c r="R29" s="93"/>
      <c r="S29" s="165"/>
      <c r="T29" s="166"/>
      <c r="U29" s="167"/>
      <c r="V29" s="166"/>
      <c r="W29" s="115" t="str">
        <f>IF(SUM(V29,T29,Q29)&gt;0,SUM(V29,T29,Q29),"")</f>
        <v/>
      </c>
      <c r="X29" s="242" t="str">
        <f>IF(W29="","",ROUND(W29/12,2))</f>
        <v/>
      </c>
    </row>
    <row r="30" spans="1:24" s="67" customFormat="1" ht="20.100000000000001" customHeight="1">
      <c r="D30" s="122"/>
      <c r="E30" s="123"/>
      <c r="F30" s="124"/>
      <c r="G30" s="124"/>
      <c r="H30" s="124"/>
      <c r="I30" s="124"/>
      <c r="J30" s="125"/>
      <c r="K30" s="125"/>
      <c r="L30" s="125"/>
      <c r="M30" s="125"/>
      <c r="N30" s="125"/>
      <c r="O30" s="125"/>
      <c r="P30" s="125"/>
      <c r="Q30" s="125"/>
      <c r="R30" s="125"/>
      <c r="S30" s="126"/>
      <c r="T30" s="116"/>
      <c r="U30" s="126"/>
      <c r="V30" s="116"/>
      <c r="W30" s="116"/>
      <c r="X30" s="244"/>
    </row>
    <row r="31" spans="1:24" s="67" customFormat="1" ht="20.100000000000001" customHeight="1">
      <c r="X31" s="245"/>
    </row>
    <row r="32" spans="1:24" ht="20.100000000000001" customHeight="1"/>
    <row r="33" spans="1:24" s="81" customFormat="1" ht="20.100000000000001" customHeight="1">
      <c r="A33" s="1"/>
      <c r="B33" s="1"/>
      <c r="C33" s="1"/>
      <c r="D33" s="3"/>
      <c r="E33" s="74"/>
      <c r="F33" s="75"/>
      <c r="G33" s="76"/>
      <c r="H33" s="76"/>
      <c r="I33" s="76"/>
      <c r="J33" s="77"/>
      <c r="K33" s="77"/>
      <c r="L33" s="77"/>
      <c r="M33" s="77"/>
      <c r="N33" s="77"/>
      <c r="O33" s="77"/>
      <c r="P33" s="77"/>
      <c r="Q33" s="77"/>
      <c r="R33" s="77"/>
      <c r="S33" s="1"/>
      <c r="T33" s="60"/>
      <c r="U33" s="1"/>
      <c r="V33" s="60"/>
      <c r="W33" s="1"/>
      <c r="X33" s="241"/>
    </row>
    <row r="34" spans="1:24" ht="20.100000000000001" customHeight="1"/>
  </sheetData>
  <sheetProtection algorithmName="SHA-512" hashValue="HUtd74SXGcZ7i0Mic2oYYtv84sHuEhWswWzEvqnOn1XV+DJlvdb+cMXXxmwVPBQ0xIdPT6S+6gQt1dg0o1MULQ==" saltValue="MwP7kR3dh2Zq/tgO77SJQg==" spinCount="100000" sheet="1" objects="1" scenarios="1"/>
  <mergeCells count="16">
    <mergeCell ref="X5:X6"/>
    <mergeCell ref="S5:T5"/>
    <mergeCell ref="U5:V5"/>
    <mergeCell ref="W5:W6"/>
    <mergeCell ref="C5:C6"/>
    <mergeCell ref="D5:D6"/>
    <mergeCell ref="E5:E6"/>
    <mergeCell ref="F5:F6"/>
    <mergeCell ref="J5:J6"/>
    <mergeCell ref="L5:L6"/>
    <mergeCell ref="N5:N6"/>
    <mergeCell ref="K5:K6"/>
    <mergeCell ref="P5:P6"/>
    <mergeCell ref="M5:M6"/>
    <mergeCell ref="Q5:Q6"/>
    <mergeCell ref="H5:H6"/>
  </mergeCells>
  <pageMargins left="0.23622047244094491" right="0.23622047244094491" top="0.74803149606299213" bottom="0.74803149606299213" header="0.31496062992125984" footer="0.31496062992125984"/>
  <pageSetup paperSize="9" scale="83" fitToWidth="2" fitToHeight="0" orientation="landscape" r:id="rId1"/>
  <headerFooter>
    <oddFooter>&amp;L&amp;"Arial,Standard"&amp;8Datum des Ausdrucks
&amp;D&amp;C&amp;"Arial,Standard"&amp;8Kalkulationsdatei (Version 1.0) 
Assistenzleistungen und Teilhabe an Bildung&amp;R&amp;"Arial,Standard"&amp;8 Seite &amp;P von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6" id="{8E1CE947-3E8F-4E44-8F94-0357D6031226}">
            <xm:f>Kalkulationsblatt!$E$23="Teilhabe an Bildung"</xm:f>
            <x14:dxf>
              <fill>
                <patternFill>
                  <bgColor theme="7" tint="0.79998168889431442"/>
                </patternFill>
              </fill>
            </x14:dxf>
          </x14:cfRule>
          <xm:sqref>I6 C9:F13 H9:H18 O9:O15 S9:S15 U9:U15 C21:F22 H21:H22 O21:O22 S21:S22 U21:U22 C25:F27 D28:F29 H25:H29 O25:O27 S25:S27 U25:U27 D14:F18 K9:M15 K21:M22 K25:M27</xm:sqref>
        </x14:conditionalFormatting>
        <x14:conditionalFormatting xmlns:xm="http://schemas.microsoft.com/office/excel/2006/main">
          <x14:cfRule type="expression" priority="5" id="{8216E75A-8FF7-473C-9E25-BCE77D7A1656}">
            <xm:f>Kalkulationsblatt!$E$23="sonstige Kräfte"</xm:f>
            <x14:dxf>
              <fill>
                <patternFill>
                  <bgColor theme="6" tint="0.79998168889431442"/>
                </patternFill>
              </fill>
            </x14:dxf>
          </x14:cfRule>
          <xm:sqref>I6 C9:F13 H9:H18 O9:O15 S9:S15 U9:U15 C21:F22 H21:H22 O21:O22 S21:S22 U21:U22 C25:F27 H25:H29 O25:O27 S25:S27 U25:U27 D28:F29 D14:F18 K9:M15 K21:M22 K25:M27</xm:sqref>
        </x14:conditionalFormatting>
        <x14:conditionalFormatting xmlns:xm="http://schemas.microsoft.com/office/excel/2006/main">
          <x14:cfRule type="expression" priority="4" id="{97D2F46A-FA7D-4A4E-9168-B8A733C42455}">
            <xm:f>'PK Zusammenfassung'!$F$22&gt;0</xm:f>
            <x14:dxf>
              <font>
                <color theme="0"/>
              </font>
              <fill>
                <patternFill>
                  <bgColor theme="0"/>
                </patternFill>
              </fill>
              <border>
                <left/>
                <right/>
                <top/>
                <bottom/>
                <vertical/>
                <horizontal/>
              </border>
            </x14:dxf>
          </x14:cfRule>
          <xm:sqref>C21:X22</xm:sqref>
        </x14:conditionalFormatting>
        <x14:conditionalFormatting xmlns:xm="http://schemas.microsoft.com/office/excel/2006/main">
          <x14:cfRule type="expression" priority="3" id="{5025490F-2FF7-4C1F-9AD1-ECE4C25D217E}">
            <xm:f>'PK Zusammenfassung'!$F$27&gt;0</xm:f>
            <x14:dxf>
              <font>
                <color theme="0"/>
              </font>
              <fill>
                <patternFill>
                  <bgColor theme="0"/>
                </patternFill>
              </fill>
              <border>
                <left/>
                <right/>
                <top/>
                <bottom/>
                <vertical/>
                <horizontal/>
              </border>
            </x14:dxf>
          </x14:cfRule>
          <xm:sqref>C25:X29</xm:sqref>
        </x14:conditionalFormatting>
        <x14:conditionalFormatting xmlns:xm="http://schemas.microsoft.com/office/excel/2006/main">
          <x14:cfRule type="expression" priority="2" id="{76463ED8-7287-414C-B54B-FE3B3BBD6589}">
            <xm:f>'PK Zusammenfassung'!$F$22&gt;0</xm:f>
            <x14:dxf>
              <font>
                <color theme="0"/>
              </font>
              <fill>
                <patternFill>
                  <bgColor theme="0"/>
                </patternFill>
              </fill>
            </x14:dxf>
          </x14:cfRule>
          <xm:sqref>A20:C20</xm:sqref>
        </x14:conditionalFormatting>
        <x14:conditionalFormatting xmlns:xm="http://schemas.microsoft.com/office/excel/2006/main">
          <x14:cfRule type="expression" priority="1" id="{32F247B3-6328-412B-B330-A933C1433D1E}">
            <xm:f>'PK Zusammenfassung'!$F$27&gt;0</xm:f>
            <x14:dxf>
              <font>
                <color theme="0"/>
              </font>
            </x14:dxf>
          </x14:cfRule>
          <xm:sqref>A24:C24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N52"/>
  <sheetViews>
    <sheetView showGridLines="0" zoomScale="80" zoomScaleNormal="80" workbookViewId="0">
      <selection activeCell="B5" sqref="B5"/>
    </sheetView>
  </sheetViews>
  <sheetFormatPr baseColWidth="10" defaultColWidth="11.42578125" defaultRowHeight="14.25"/>
  <cols>
    <col min="1" max="1" width="5" style="1" customWidth="1"/>
    <col min="2" max="2" width="32.42578125" style="1" customWidth="1"/>
    <col min="3" max="4" width="11.5703125" style="1" bestFit="1" customWidth="1"/>
    <col min="5" max="5" width="11.85546875" style="1" hidden="1" customWidth="1"/>
    <col min="6" max="6" width="14.85546875" style="1" customWidth="1"/>
    <col min="7" max="7" width="13.28515625" style="1" customWidth="1"/>
    <col min="8" max="8" width="13" style="1" customWidth="1"/>
    <col min="9" max="9" width="10.28515625" style="1" customWidth="1"/>
    <col min="10" max="10" width="11.140625" style="176" customWidth="1"/>
    <col min="11" max="11" width="16" style="1" customWidth="1"/>
    <col min="12" max="12" width="10.85546875" style="1" customWidth="1"/>
    <col min="13" max="13" width="16.28515625" style="1" customWidth="1"/>
    <col min="14" max="16384" width="11.42578125" style="1"/>
  </cols>
  <sheetData>
    <row r="1" spans="2:14" ht="15">
      <c r="B1" s="493" t="str">
        <f>"Kalkulation "&amp;TEXT(Kalkulationsblatt!E23,"")&amp;" "&amp;TEXT(Kalkulationsblatt!C4,"")&amp;" für den Zeitraum von "&amp;TEXT(Kalkulationsblatt!B21,"TT. MMMM JJJJ")&amp;" bis zum "&amp;TEXT(Kalkulationsblatt!E21,"TT. MMMM JJJJ")&amp;""</f>
        <v>Kalkulation   für den Zeitraum von 00. Januar 1900 bis zum 00. Januar 1900</v>
      </c>
    </row>
    <row r="2" spans="2:14" ht="20.100000000000001" customHeight="1">
      <c r="B2" s="97"/>
      <c r="C2" s="97"/>
      <c r="D2" s="97"/>
      <c r="E2" s="97"/>
      <c r="F2" s="99"/>
      <c r="I2" s="100"/>
      <c r="J2" s="247"/>
      <c r="K2" s="101"/>
      <c r="M2" s="102"/>
    </row>
    <row r="3" spans="2:14" ht="20.100000000000001" customHeight="1">
      <c r="B3" s="98" t="s">
        <v>81</v>
      </c>
      <c r="C3" s="708" t="s">
        <v>79</v>
      </c>
      <c r="D3" s="708"/>
      <c r="E3" s="70"/>
      <c r="F3" s="707" t="s">
        <v>80</v>
      </c>
      <c r="G3" s="708" t="s">
        <v>83</v>
      </c>
      <c r="H3" s="708"/>
      <c r="I3" s="703" t="s">
        <v>87</v>
      </c>
      <c r="J3" s="710" t="s">
        <v>148</v>
      </c>
      <c r="K3" s="706" t="s">
        <v>70</v>
      </c>
      <c r="L3" s="709" t="s">
        <v>75</v>
      </c>
      <c r="M3" s="705" t="s">
        <v>4</v>
      </c>
    </row>
    <row r="4" spans="2:14" ht="20.100000000000001" customHeight="1">
      <c r="C4" s="106" t="s">
        <v>85</v>
      </c>
      <c r="D4" s="106" t="s">
        <v>86</v>
      </c>
      <c r="E4" s="70"/>
      <c r="F4" s="707"/>
      <c r="G4" s="105" t="s">
        <v>82</v>
      </c>
      <c r="H4" s="105" t="s">
        <v>84</v>
      </c>
      <c r="I4" s="704"/>
      <c r="J4" s="711"/>
      <c r="K4" s="706"/>
      <c r="L4" s="709"/>
      <c r="M4" s="705"/>
    </row>
    <row r="5" spans="2:14" ht="20.100000000000001" customHeight="1">
      <c r="B5" s="302"/>
      <c r="C5" s="518"/>
      <c r="D5" s="518"/>
      <c r="E5" s="517" t="str">
        <f t="shared" ref="E5:E23" si="0">IF(OR(C5="",D5=""),"",IF(D5&gt;C5,D5-C5,1+D5-C5))</f>
        <v/>
      </c>
      <c r="F5" s="92" t="str">
        <f t="shared" ref="F5:F23" si="1">IF(E5="","",E5*24)</f>
        <v/>
      </c>
      <c r="G5" s="314"/>
      <c r="H5" s="315"/>
      <c r="I5" s="302"/>
      <c r="J5" s="195" t="str">
        <f t="shared" ref="J5:J23" si="2">IF(I5&gt;0,F5*I5,"")</f>
        <v/>
      </c>
      <c r="K5" s="107" t="str">
        <f>IF(J5="","",IF(AND(G5&gt;0,H5&gt;0),"FEHLER",IF(G5&gt;0,G5*J5,$H$35*H5*J5)))</f>
        <v/>
      </c>
      <c r="L5" s="316"/>
      <c r="M5" s="257" t="str">
        <f t="shared" ref="M5:M23" si="3">IF(K5="","",K5*L5)</f>
        <v/>
      </c>
      <c r="N5" s="273" t="str">
        <f>IF(K5="","",IF(K5="FEHLER","Sie dürfen in den Spalten G und H entweder nur einen Eurobetrag oder einen Prozentwert pro Zeile angeben",""))</f>
        <v/>
      </c>
    </row>
    <row r="6" spans="2:14" ht="20.100000000000001" customHeight="1">
      <c r="B6" s="302"/>
      <c r="C6" s="518"/>
      <c r="D6" s="518"/>
      <c r="E6" s="517" t="str">
        <f t="shared" si="0"/>
        <v/>
      </c>
      <c r="F6" s="92" t="str">
        <f t="shared" si="1"/>
        <v/>
      </c>
      <c r="G6" s="314"/>
      <c r="H6" s="315"/>
      <c r="I6" s="302"/>
      <c r="J6" s="195" t="str">
        <f t="shared" si="2"/>
        <v/>
      </c>
      <c r="K6" s="107" t="str">
        <f t="shared" ref="K6:K23" si="4">IF(J6="","",IF(AND(G6&gt;0,H6&gt;0),"FEHLER",IF(G6&gt;0,G6*J6,$H$35*H6*J6)))</f>
        <v/>
      </c>
      <c r="L6" s="316"/>
      <c r="M6" s="257" t="str">
        <f t="shared" si="3"/>
        <v/>
      </c>
      <c r="N6" s="273" t="str">
        <f t="shared" ref="N6:N23" si="5">IF(K6="","",IF(K6="FEHLER","Sie dürfen in den Spalten G und H entweder nur einen Eurobetrag oder einen Prozentwert pro Zeile angeben",""))</f>
        <v/>
      </c>
    </row>
    <row r="7" spans="2:14" ht="20.100000000000001" customHeight="1">
      <c r="B7" s="302"/>
      <c r="C7" s="518"/>
      <c r="D7" s="518"/>
      <c r="E7" s="517" t="str">
        <f t="shared" si="0"/>
        <v/>
      </c>
      <c r="F7" s="92" t="str">
        <f t="shared" si="1"/>
        <v/>
      </c>
      <c r="G7" s="314"/>
      <c r="H7" s="315"/>
      <c r="I7" s="302"/>
      <c r="J7" s="195" t="str">
        <f t="shared" si="2"/>
        <v/>
      </c>
      <c r="K7" s="107" t="str">
        <f t="shared" si="4"/>
        <v/>
      </c>
      <c r="L7" s="316"/>
      <c r="M7" s="257" t="str">
        <f t="shared" si="3"/>
        <v/>
      </c>
      <c r="N7" s="273" t="str">
        <f t="shared" si="5"/>
        <v/>
      </c>
    </row>
    <row r="8" spans="2:14" ht="20.100000000000001" customHeight="1">
      <c r="B8" s="302"/>
      <c r="C8" s="518"/>
      <c r="D8" s="518"/>
      <c r="E8" s="517" t="str">
        <f t="shared" si="0"/>
        <v/>
      </c>
      <c r="F8" s="92" t="str">
        <f t="shared" si="1"/>
        <v/>
      </c>
      <c r="G8" s="314"/>
      <c r="H8" s="315"/>
      <c r="I8" s="302"/>
      <c r="J8" s="195" t="str">
        <f t="shared" si="2"/>
        <v/>
      </c>
      <c r="K8" s="107" t="str">
        <f t="shared" si="4"/>
        <v/>
      </c>
      <c r="L8" s="316"/>
      <c r="M8" s="257" t="str">
        <f t="shared" si="3"/>
        <v/>
      </c>
      <c r="N8" s="273" t="str">
        <f t="shared" si="5"/>
        <v/>
      </c>
    </row>
    <row r="9" spans="2:14" ht="20.100000000000001" customHeight="1">
      <c r="B9" s="302"/>
      <c r="C9" s="518"/>
      <c r="D9" s="518"/>
      <c r="E9" s="517" t="str">
        <f t="shared" si="0"/>
        <v/>
      </c>
      <c r="F9" s="92" t="str">
        <f t="shared" si="1"/>
        <v/>
      </c>
      <c r="G9" s="314"/>
      <c r="H9" s="315"/>
      <c r="I9" s="302"/>
      <c r="J9" s="195" t="str">
        <f t="shared" si="2"/>
        <v/>
      </c>
      <c r="K9" s="107" t="str">
        <f t="shared" si="4"/>
        <v/>
      </c>
      <c r="L9" s="316"/>
      <c r="M9" s="257" t="str">
        <f t="shared" si="3"/>
        <v/>
      </c>
      <c r="N9" s="273" t="str">
        <f t="shared" si="5"/>
        <v/>
      </c>
    </row>
    <row r="10" spans="2:14" ht="20.100000000000001" customHeight="1">
      <c r="B10" s="302"/>
      <c r="C10" s="518"/>
      <c r="D10" s="518"/>
      <c r="E10" s="517" t="str">
        <f t="shared" si="0"/>
        <v/>
      </c>
      <c r="F10" s="92" t="str">
        <f t="shared" si="1"/>
        <v/>
      </c>
      <c r="G10" s="314"/>
      <c r="H10" s="315"/>
      <c r="I10" s="302"/>
      <c r="J10" s="195" t="str">
        <f t="shared" si="2"/>
        <v/>
      </c>
      <c r="K10" s="107" t="str">
        <f t="shared" si="4"/>
        <v/>
      </c>
      <c r="L10" s="316"/>
      <c r="M10" s="257" t="str">
        <f t="shared" si="3"/>
        <v/>
      </c>
      <c r="N10" s="273" t="str">
        <f t="shared" si="5"/>
        <v/>
      </c>
    </row>
    <row r="11" spans="2:14" ht="20.100000000000001" customHeight="1">
      <c r="B11" s="302"/>
      <c r="C11" s="518"/>
      <c r="D11" s="518"/>
      <c r="E11" s="517" t="str">
        <f t="shared" si="0"/>
        <v/>
      </c>
      <c r="F11" s="92" t="str">
        <f t="shared" si="1"/>
        <v/>
      </c>
      <c r="G11" s="314"/>
      <c r="H11" s="315"/>
      <c r="I11" s="302"/>
      <c r="J11" s="195" t="str">
        <f t="shared" si="2"/>
        <v/>
      </c>
      <c r="K11" s="107" t="str">
        <f t="shared" si="4"/>
        <v/>
      </c>
      <c r="L11" s="316"/>
      <c r="M11" s="257" t="str">
        <f t="shared" si="3"/>
        <v/>
      </c>
      <c r="N11" s="273" t="str">
        <f t="shared" si="5"/>
        <v/>
      </c>
    </row>
    <row r="12" spans="2:14" ht="20.100000000000001" customHeight="1">
      <c r="B12" s="302"/>
      <c r="C12" s="518"/>
      <c r="D12" s="518"/>
      <c r="E12" s="517" t="str">
        <f t="shared" si="0"/>
        <v/>
      </c>
      <c r="F12" s="92" t="str">
        <f t="shared" si="1"/>
        <v/>
      </c>
      <c r="G12" s="314"/>
      <c r="H12" s="315"/>
      <c r="I12" s="302"/>
      <c r="J12" s="195" t="str">
        <f t="shared" si="2"/>
        <v/>
      </c>
      <c r="K12" s="107" t="str">
        <f t="shared" si="4"/>
        <v/>
      </c>
      <c r="L12" s="316"/>
      <c r="M12" s="257" t="str">
        <f t="shared" si="3"/>
        <v/>
      </c>
      <c r="N12" s="273" t="str">
        <f t="shared" si="5"/>
        <v/>
      </c>
    </row>
    <row r="13" spans="2:14" ht="20.100000000000001" customHeight="1">
      <c r="B13" s="302"/>
      <c r="C13" s="518"/>
      <c r="D13" s="518"/>
      <c r="E13" s="517" t="str">
        <f t="shared" si="0"/>
        <v/>
      </c>
      <c r="F13" s="92" t="str">
        <f t="shared" si="1"/>
        <v/>
      </c>
      <c r="G13" s="314"/>
      <c r="H13" s="315"/>
      <c r="I13" s="302"/>
      <c r="J13" s="195" t="str">
        <f t="shared" si="2"/>
        <v/>
      </c>
      <c r="K13" s="107" t="str">
        <f t="shared" si="4"/>
        <v/>
      </c>
      <c r="L13" s="316"/>
      <c r="M13" s="257" t="str">
        <f t="shared" si="3"/>
        <v/>
      </c>
      <c r="N13" s="273" t="str">
        <f t="shared" si="5"/>
        <v/>
      </c>
    </row>
    <row r="14" spans="2:14" ht="20.100000000000001" customHeight="1">
      <c r="B14" s="302"/>
      <c r="C14" s="518"/>
      <c r="D14" s="518"/>
      <c r="E14" s="517" t="str">
        <f t="shared" si="0"/>
        <v/>
      </c>
      <c r="F14" s="92" t="str">
        <f t="shared" si="1"/>
        <v/>
      </c>
      <c r="G14" s="314"/>
      <c r="H14" s="315"/>
      <c r="I14" s="302"/>
      <c r="J14" s="195" t="str">
        <f t="shared" si="2"/>
        <v/>
      </c>
      <c r="K14" s="107" t="str">
        <f t="shared" si="4"/>
        <v/>
      </c>
      <c r="L14" s="316"/>
      <c r="M14" s="257" t="str">
        <f t="shared" si="3"/>
        <v/>
      </c>
      <c r="N14" s="273" t="str">
        <f t="shared" si="5"/>
        <v/>
      </c>
    </row>
    <row r="15" spans="2:14" ht="20.100000000000001" customHeight="1">
      <c r="B15" s="302"/>
      <c r="C15" s="518"/>
      <c r="D15" s="518"/>
      <c r="E15" s="517" t="str">
        <f t="shared" si="0"/>
        <v/>
      </c>
      <c r="F15" s="92" t="str">
        <f t="shared" si="1"/>
        <v/>
      </c>
      <c r="G15" s="314"/>
      <c r="H15" s="315"/>
      <c r="I15" s="302"/>
      <c r="J15" s="195" t="str">
        <f t="shared" si="2"/>
        <v/>
      </c>
      <c r="K15" s="107" t="str">
        <f t="shared" si="4"/>
        <v/>
      </c>
      <c r="L15" s="316"/>
      <c r="M15" s="257" t="str">
        <f t="shared" si="3"/>
        <v/>
      </c>
      <c r="N15" s="273" t="str">
        <f t="shared" si="5"/>
        <v/>
      </c>
    </row>
    <row r="16" spans="2:14" ht="20.100000000000001" customHeight="1">
      <c r="B16" s="302"/>
      <c r="C16" s="518"/>
      <c r="D16" s="518"/>
      <c r="E16" s="517" t="str">
        <f t="shared" si="0"/>
        <v/>
      </c>
      <c r="F16" s="92" t="str">
        <f t="shared" si="1"/>
        <v/>
      </c>
      <c r="G16" s="314"/>
      <c r="H16" s="315"/>
      <c r="I16" s="302"/>
      <c r="J16" s="195" t="str">
        <f t="shared" si="2"/>
        <v/>
      </c>
      <c r="K16" s="107" t="str">
        <f t="shared" si="4"/>
        <v/>
      </c>
      <c r="L16" s="316"/>
      <c r="M16" s="257" t="str">
        <f t="shared" si="3"/>
        <v/>
      </c>
      <c r="N16" s="273" t="str">
        <f t="shared" si="5"/>
        <v/>
      </c>
    </row>
    <row r="17" spans="1:14" ht="20.100000000000001" customHeight="1">
      <c r="B17" s="302"/>
      <c r="C17" s="518"/>
      <c r="D17" s="518"/>
      <c r="E17" s="517" t="str">
        <f t="shared" si="0"/>
        <v/>
      </c>
      <c r="F17" s="92" t="str">
        <f t="shared" si="1"/>
        <v/>
      </c>
      <c r="G17" s="314"/>
      <c r="H17" s="315"/>
      <c r="I17" s="302"/>
      <c r="J17" s="254" t="str">
        <f t="shared" si="2"/>
        <v/>
      </c>
      <c r="K17" s="107" t="str">
        <f t="shared" si="4"/>
        <v/>
      </c>
      <c r="L17" s="316"/>
      <c r="M17" s="257" t="str">
        <f t="shared" si="3"/>
        <v/>
      </c>
      <c r="N17" s="273" t="str">
        <f t="shared" si="5"/>
        <v/>
      </c>
    </row>
    <row r="18" spans="1:14" ht="20.100000000000001" customHeight="1">
      <c r="B18" s="302"/>
      <c r="C18" s="518"/>
      <c r="D18" s="518"/>
      <c r="E18" s="517" t="str">
        <f t="shared" si="0"/>
        <v/>
      </c>
      <c r="F18" s="92" t="str">
        <f t="shared" si="1"/>
        <v/>
      </c>
      <c r="G18" s="314"/>
      <c r="H18" s="315"/>
      <c r="I18" s="302"/>
      <c r="J18" s="195" t="str">
        <f t="shared" si="2"/>
        <v/>
      </c>
      <c r="K18" s="107" t="str">
        <f t="shared" si="4"/>
        <v/>
      </c>
      <c r="L18" s="316"/>
      <c r="M18" s="257" t="str">
        <f t="shared" si="3"/>
        <v/>
      </c>
      <c r="N18" s="273" t="str">
        <f t="shared" si="5"/>
        <v/>
      </c>
    </row>
    <row r="19" spans="1:14" ht="20.100000000000001" customHeight="1">
      <c r="B19" s="302"/>
      <c r="C19" s="518"/>
      <c r="D19" s="518"/>
      <c r="E19" s="517" t="str">
        <f t="shared" si="0"/>
        <v/>
      </c>
      <c r="F19" s="92" t="str">
        <f t="shared" si="1"/>
        <v/>
      </c>
      <c r="G19" s="314"/>
      <c r="H19" s="315"/>
      <c r="I19" s="302"/>
      <c r="J19" s="195" t="str">
        <f t="shared" si="2"/>
        <v/>
      </c>
      <c r="K19" s="107" t="str">
        <f t="shared" si="4"/>
        <v/>
      </c>
      <c r="L19" s="316"/>
      <c r="M19" s="257" t="str">
        <f t="shared" si="3"/>
        <v/>
      </c>
      <c r="N19" s="273" t="str">
        <f t="shared" si="5"/>
        <v/>
      </c>
    </row>
    <row r="20" spans="1:14" ht="20.100000000000001" customHeight="1">
      <c r="B20" s="313"/>
      <c r="C20" s="518"/>
      <c r="D20" s="518"/>
      <c r="E20" s="517" t="str">
        <f t="shared" si="0"/>
        <v/>
      </c>
      <c r="F20" s="92" t="str">
        <f t="shared" si="1"/>
        <v/>
      </c>
      <c r="G20" s="314"/>
      <c r="H20" s="315"/>
      <c r="I20" s="302"/>
      <c r="J20" s="195" t="str">
        <f t="shared" si="2"/>
        <v/>
      </c>
      <c r="K20" s="107" t="str">
        <f t="shared" si="4"/>
        <v/>
      </c>
      <c r="L20" s="316"/>
      <c r="M20" s="257" t="str">
        <f t="shared" si="3"/>
        <v/>
      </c>
      <c r="N20" s="273" t="str">
        <f t="shared" si="5"/>
        <v/>
      </c>
    </row>
    <row r="21" spans="1:14" ht="20.100000000000001" customHeight="1">
      <c r="B21" s="313"/>
      <c r="C21" s="518"/>
      <c r="D21" s="518"/>
      <c r="E21" s="517" t="str">
        <f t="shared" si="0"/>
        <v/>
      </c>
      <c r="F21" s="92" t="str">
        <f t="shared" si="1"/>
        <v/>
      </c>
      <c r="G21" s="314"/>
      <c r="H21" s="315"/>
      <c r="I21" s="302"/>
      <c r="J21" s="195" t="str">
        <f t="shared" si="2"/>
        <v/>
      </c>
      <c r="K21" s="107" t="str">
        <f t="shared" si="4"/>
        <v/>
      </c>
      <c r="L21" s="316"/>
      <c r="M21" s="257" t="str">
        <f t="shared" si="3"/>
        <v/>
      </c>
      <c r="N21" s="273" t="str">
        <f t="shared" si="5"/>
        <v/>
      </c>
    </row>
    <row r="22" spans="1:14" ht="20.100000000000001" customHeight="1">
      <c r="B22" s="313"/>
      <c r="C22" s="518"/>
      <c r="D22" s="518"/>
      <c r="E22" s="517" t="str">
        <f t="shared" si="0"/>
        <v/>
      </c>
      <c r="F22" s="92" t="str">
        <f t="shared" si="1"/>
        <v/>
      </c>
      <c r="G22" s="314"/>
      <c r="H22" s="315"/>
      <c r="I22" s="302"/>
      <c r="J22" s="195" t="str">
        <f t="shared" si="2"/>
        <v/>
      </c>
      <c r="K22" s="107" t="str">
        <f t="shared" si="4"/>
        <v/>
      </c>
      <c r="L22" s="316"/>
      <c r="M22" s="257" t="str">
        <f t="shared" si="3"/>
        <v/>
      </c>
      <c r="N22" s="273" t="str">
        <f t="shared" si="5"/>
        <v/>
      </c>
    </row>
    <row r="23" spans="1:14" ht="20.100000000000001" customHeight="1" thickBot="1">
      <c r="B23" s="313"/>
      <c r="C23" s="518"/>
      <c r="D23" s="518"/>
      <c r="E23" s="517" t="str">
        <f t="shared" si="0"/>
        <v/>
      </c>
      <c r="F23" s="92" t="str">
        <f t="shared" si="1"/>
        <v/>
      </c>
      <c r="G23" s="314"/>
      <c r="H23" s="315"/>
      <c r="I23" s="302"/>
      <c r="J23" s="255" t="str">
        <f t="shared" si="2"/>
        <v/>
      </c>
      <c r="K23" s="107" t="str">
        <f t="shared" si="4"/>
        <v/>
      </c>
      <c r="L23" s="316"/>
      <c r="M23" s="257" t="str">
        <f t="shared" si="3"/>
        <v/>
      </c>
      <c r="N23" s="273" t="str">
        <f t="shared" si="5"/>
        <v/>
      </c>
    </row>
    <row r="24" spans="1:14" ht="20.100000000000001" customHeight="1" thickBot="1">
      <c r="B24" s="86"/>
      <c r="C24" s="86"/>
      <c r="D24" s="86"/>
      <c r="E24" s="86"/>
      <c r="F24" s="86"/>
      <c r="G24" s="103"/>
      <c r="H24" s="6"/>
      <c r="I24" s="6"/>
      <c r="J24" s="256">
        <f>SUM(J5:J23)</f>
        <v>0</v>
      </c>
      <c r="K24" s="6"/>
      <c r="L24" s="5"/>
      <c r="M24" s="112">
        <f>SUM(M5:M23)</f>
        <v>0</v>
      </c>
    </row>
    <row r="25" spans="1:14" ht="15">
      <c r="B25" s="269" t="b">
        <f>IF(J24&gt;0,IF(J24&lt;4800,"Haben Sie alle zuschlagsplfichtigen Zeiten berücksichtigt?! - siehe auch Anwenderhandbuch Seite 16",IF(J24&gt;5200,"Bitte die zuschlagspflichtigen Zeiten überprüfen - sie sind möglicherweise zu hoch - siehe auch Anwenderhandbuch Seite 16","")))</f>
        <v>0</v>
      </c>
      <c r="G25" s="104"/>
    </row>
    <row r="26" spans="1:14">
      <c r="G26" s="104"/>
    </row>
    <row r="27" spans="1:14" ht="15">
      <c r="A27" s="2" t="s">
        <v>29</v>
      </c>
      <c r="B27" s="219" t="str">
        <f>"Assistenzkräfte "&amp;TEXT(Kalkulationsblatt!E23,"")&amp;""</f>
        <v xml:space="preserve">Assistenzkräfte </v>
      </c>
    </row>
    <row r="28" spans="1:14" ht="19.899999999999999" customHeight="1">
      <c r="A28" s="702"/>
      <c r="B28" s="708"/>
      <c r="C28" s="709" t="s">
        <v>76</v>
      </c>
      <c r="D28" s="709" t="s">
        <v>78</v>
      </c>
      <c r="F28" s="709" t="s">
        <v>235</v>
      </c>
      <c r="G28" s="703" t="s">
        <v>136</v>
      </c>
      <c r="H28" s="703" t="s">
        <v>234</v>
      </c>
    </row>
    <row r="29" spans="1:14" ht="19.899999999999999" customHeight="1">
      <c r="A29" s="702"/>
      <c r="B29" s="708"/>
      <c r="C29" s="709"/>
      <c r="D29" s="709"/>
      <c r="F29" s="709"/>
      <c r="G29" s="704"/>
      <c r="H29" s="704"/>
    </row>
    <row r="30" spans="1:14">
      <c r="B30" s="70" t="str">
        <f>IF('PK Zusammenfassung'!C10&gt;0,'PK Zusammenfassung'!C10,"")</f>
        <v/>
      </c>
      <c r="C30" s="317"/>
      <c r="D30" s="92" t="str">
        <f>IF(C30="","",'PK Zusammenfassung'!$F$4)</f>
        <v/>
      </c>
      <c r="F30" s="70" t="str">
        <f>IF(C30="","",4.348)</f>
        <v/>
      </c>
      <c r="G30" s="93" t="str">
        <f>IF(C30="","",ROUND(C30/(D30*F30),2))</f>
        <v/>
      </c>
      <c r="H30" s="93" t="str">
        <f>IF(G30="","",ROUND(('PK Zusammenfassung'!F10*'PK Zeitzuschläge'!G30),2))</f>
        <v/>
      </c>
      <c r="I30" s="72"/>
      <c r="J30" s="248"/>
      <c r="K30" s="72" t="s">
        <v>88</v>
      </c>
      <c r="L30" s="67"/>
      <c r="M30" s="109">
        <f>M24</f>
        <v>0</v>
      </c>
    </row>
    <row r="31" spans="1:14">
      <c r="B31" s="70" t="str">
        <f>IF('PK Zusammenfassung'!C11&gt;0,'PK Zusammenfassung'!C11,"")</f>
        <v/>
      </c>
      <c r="C31" s="317"/>
      <c r="D31" s="92" t="str">
        <f>IF(C31="","",'PK Zusammenfassung'!$F$4)</f>
        <v/>
      </c>
      <c r="F31" s="70" t="str">
        <f>IF(C31="","",4.348)</f>
        <v/>
      </c>
      <c r="G31" s="93" t="str">
        <f>IF(C31="","",ROUND(C31/(D31*F31),2))</f>
        <v/>
      </c>
      <c r="H31" s="93" t="str">
        <f>IF(G31="","",ROUND(('PK Zusammenfassung'!F11*'PK Zeitzuschläge'!G31),2))</f>
        <v/>
      </c>
      <c r="I31" s="94"/>
      <c r="J31" s="249"/>
      <c r="K31" s="72" t="s">
        <v>89</v>
      </c>
      <c r="L31" s="67"/>
      <c r="M31" s="68">
        <f>H37</f>
        <v>0</v>
      </c>
    </row>
    <row r="32" spans="1:14">
      <c r="B32" s="70" t="str">
        <f>IF('PK Zusammenfassung'!C12&gt;0,'PK Zusammenfassung'!C12,"")</f>
        <v/>
      </c>
      <c r="C32" s="317"/>
      <c r="D32" s="92" t="str">
        <f>IF(C32="","",'PK Zusammenfassung'!$F$4)</f>
        <v/>
      </c>
      <c r="F32" s="70" t="str">
        <f>IF(C32="","",4.348)</f>
        <v/>
      </c>
      <c r="G32" s="93" t="str">
        <f>IF(C32="","",ROUND(C32/(D32*F32),2))</f>
        <v/>
      </c>
      <c r="H32" s="93" t="str">
        <f>IF(G32="","",ROUND(('PK Zusammenfassung'!F12*'PK Zeitzuschläge'!G32),2))</f>
        <v/>
      </c>
      <c r="I32" s="94"/>
      <c r="J32" s="249"/>
      <c r="K32" s="111" t="s">
        <v>90</v>
      </c>
      <c r="L32" s="111"/>
      <c r="M32" s="111">
        <v>12</v>
      </c>
    </row>
    <row r="33" spans="2:13">
      <c r="B33" s="70" t="str">
        <f>IF('PK Zusammenfassung'!C13&gt;0,'PK Zusammenfassung'!C13,"")</f>
        <v/>
      </c>
      <c r="C33" s="317"/>
      <c r="D33" s="92" t="str">
        <f>IF(C33="","",'PK Zusammenfassung'!$F$4)</f>
        <v/>
      </c>
      <c r="F33" s="70" t="str">
        <f>IF(C33="","",4.348)</f>
        <v/>
      </c>
      <c r="G33" s="93" t="str">
        <f>IF(C33="","",ROUND(C33/(D33*F33),2))</f>
        <v/>
      </c>
      <c r="H33" s="93" t="str">
        <f>IF(G33="","",ROUND(('PK Zusammenfassung'!F13*'PK Zeitzuschläge'!G33),2))</f>
        <v/>
      </c>
      <c r="I33" s="94"/>
      <c r="J33" s="249"/>
      <c r="L33" s="67"/>
    </row>
    <row r="34" spans="2:13" ht="15" thickBot="1">
      <c r="B34" s="70" t="str">
        <f>IF('PK Zusammenfassung'!C14&gt;0,'PK Zusammenfassung'!C14,"")</f>
        <v/>
      </c>
      <c r="C34" s="317"/>
      <c r="D34" s="92" t="str">
        <f>IF(C34="","",'PK Zusammenfassung'!$F$4)</f>
        <v/>
      </c>
      <c r="F34" s="70" t="str">
        <f>IF(C34="","",4.348)</f>
        <v/>
      </c>
      <c r="G34" s="93" t="str">
        <f>IF(C34="","",ROUND(C34/(D34*F34),2))</f>
        <v/>
      </c>
      <c r="H34" s="93" t="str">
        <f>IF(G34="","",ROUND(('PK Zusammenfassung'!F14*'PK Zeitzuschläge'!G34),2))</f>
        <v/>
      </c>
      <c r="I34" s="94"/>
      <c r="J34" s="249"/>
      <c r="K34" s="72" t="s">
        <v>91</v>
      </c>
      <c r="L34" s="67"/>
      <c r="M34" s="233" t="str">
        <f>IF(M31=0,"",ROUND(M30/M31/M32,2))</f>
        <v/>
      </c>
    </row>
    <row r="35" spans="2:13" ht="15.75" thickBot="1">
      <c r="B35" s="72"/>
      <c r="C35" s="95"/>
      <c r="D35" s="72"/>
      <c r="F35" s="495" t="s">
        <v>236</v>
      </c>
      <c r="G35" s="496"/>
      <c r="H35" s="110" t="str">
        <f>IF(H37=0,"",ROUND(SUM(H30:H34)/H37,2))</f>
        <v/>
      </c>
      <c r="I35" s="94"/>
      <c r="J35" s="249"/>
      <c r="K35" s="72" t="s">
        <v>144</v>
      </c>
      <c r="L35" s="67"/>
      <c r="M35" s="67"/>
    </row>
    <row r="36" spans="2:13" ht="15" thickBot="1">
      <c r="B36" s="72"/>
      <c r="C36" s="72"/>
      <c r="D36" s="95"/>
      <c r="E36" s="72"/>
      <c r="F36" s="72"/>
      <c r="G36" s="72"/>
      <c r="H36" s="94"/>
      <c r="I36" s="94"/>
      <c r="J36" s="249"/>
      <c r="K36" s="72" t="s">
        <v>160</v>
      </c>
      <c r="L36" s="67"/>
      <c r="M36" s="233" t="str">
        <f>H51</f>
        <v/>
      </c>
    </row>
    <row r="37" spans="2:13" ht="15.75" thickBot="1">
      <c r="B37" s="72"/>
      <c r="C37" s="72"/>
      <c r="D37" s="95"/>
      <c r="E37" s="72"/>
      <c r="F37" s="495" t="s">
        <v>227</v>
      </c>
      <c r="G37" s="489"/>
      <c r="H37" s="108">
        <f>SUM('PK Zusammenfassung'!F10:F14)</f>
        <v>0</v>
      </c>
      <c r="I37" s="94"/>
      <c r="J37" s="249"/>
    </row>
    <row r="38" spans="2:13" ht="15.75" thickBot="1">
      <c r="K38" s="1" t="s">
        <v>225</v>
      </c>
      <c r="M38" s="234">
        <f>SUM(M34:M36)</f>
        <v>0</v>
      </c>
    </row>
    <row r="41" spans="2:13">
      <c r="B41" s="701" t="s">
        <v>266</v>
      </c>
      <c r="C41" s="701"/>
      <c r="D41" s="701"/>
      <c r="E41" s="701"/>
      <c r="F41" s="701"/>
      <c r="G41" s="701"/>
      <c r="H41" s="701"/>
    </row>
    <row r="42" spans="2:13">
      <c r="B42" s="701"/>
      <c r="C42" s="701"/>
      <c r="D42" s="701"/>
      <c r="E42" s="701"/>
      <c r="F42" s="701"/>
      <c r="G42" s="701"/>
      <c r="H42" s="701"/>
    </row>
    <row r="43" spans="2:13">
      <c r="B43" s="701"/>
      <c r="C43" s="701"/>
      <c r="D43" s="701"/>
      <c r="E43" s="701"/>
      <c r="F43" s="701"/>
      <c r="G43" s="701"/>
      <c r="H43" s="701"/>
    </row>
    <row r="44" spans="2:13">
      <c r="B44" s="701"/>
      <c r="C44" s="701"/>
      <c r="D44" s="701"/>
      <c r="E44" s="701"/>
      <c r="F44" s="701"/>
      <c r="G44" s="701"/>
      <c r="H44" s="701"/>
    </row>
    <row r="46" spans="2:13" ht="15">
      <c r="B46" s="235" t="s">
        <v>145</v>
      </c>
    </row>
    <row r="48" spans="2:13">
      <c r="B48" s="484"/>
      <c r="C48" s="226"/>
      <c r="D48" s="226"/>
      <c r="F48" s="227"/>
      <c r="G48" s="227"/>
      <c r="H48" s="227"/>
      <c r="I48" s="238"/>
      <c r="J48" s="250"/>
    </row>
    <row r="49" spans="1:11">
      <c r="B49" s="482"/>
      <c r="C49" s="298" t="s">
        <v>140</v>
      </c>
      <c r="D49" s="228" t="s">
        <v>141</v>
      </c>
      <c r="E49" s="232"/>
      <c r="F49" s="228" t="s">
        <v>143</v>
      </c>
      <c r="G49" s="228" t="s">
        <v>142</v>
      </c>
      <c r="H49" s="236" t="s">
        <v>4</v>
      </c>
      <c r="I49" s="238"/>
      <c r="J49" s="250"/>
    </row>
    <row r="50" spans="1:11" ht="15" thickBot="1">
      <c r="B50" s="485" t="s">
        <v>224</v>
      </c>
      <c r="C50" s="488" t="str">
        <f>'Berechnung verfügbare AZ'!D22</f>
        <v/>
      </c>
      <c r="D50" s="229" t="str">
        <f>$M$34</f>
        <v/>
      </c>
      <c r="E50" s="230"/>
      <c r="F50" s="231">
        <v>30.416666666666668</v>
      </c>
      <c r="G50" s="231" t="str">
        <f>IF(D50="","",D50/F50)</f>
        <v/>
      </c>
      <c r="H50" s="237" t="str">
        <f>IF(G50="","",ROUND(C50*G50,2))</f>
        <v/>
      </c>
      <c r="I50" s="239"/>
      <c r="J50" s="251"/>
    </row>
    <row r="51" spans="1:11" ht="15.75" thickBot="1">
      <c r="A51" s="86"/>
      <c r="B51" s="483" t="s">
        <v>226</v>
      </c>
      <c r="C51" s="258"/>
      <c r="D51" s="258"/>
      <c r="F51" s="259"/>
      <c r="G51" s="259"/>
      <c r="H51" s="265" t="str">
        <f>IF(H50="","",ROUND(H50/12,2))</f>
        <v/>
      </c>
      <c r="I51" s="246"/>
      <c r="J51" s="252"/>
      <c r="K51" s="224"/>
    </row>
    <row r="52" spans="1:11">
      <c r="B52" s="260"/>
      <c r="C52" s="261"/>
      <c r="D52" s="262"/>
      <c r="E52" s="263"/>
      <c r="F52" s="263"/>
      <c r="G52" s="264"/>
      <c r="H52" s="263"/>
      <c r="I52" s="225"/>
      <c r="J52" s="253"/>
    </row>
  </sheetData>
  <sheetProtection algorithmName="SHA-512" hashValue="PU6qsDkrhamhJ3h4130lz4kfSSF7823UTFNhzuEgfj0n3xy6taUk2h4uRgFmZHxS/GBP/Y/lbJka2DUdO47cCw==" saltValue="5uU4bOgSEnA/wZCa07rrjw==" spinCount="100000" sheet="1" objects="1" scenarios="1"/>
  <mergeCells count="16">
    <mergeCell ref="B41:H44"/>
    <mergeCell ref="A28:A29"/>
    <mergeCell ref="H28:H29"/>
    <mergeCell ref="M3:M4"/>
    <mergeCell ref="K3:K4"/>
    <mergeCell ref="I3:I4"/>
    <mergeCell ref="F3:F4"/>
    <mergeCell ref="B28:B29"/>
    <mergeCell ref="G28:G29"/>
    <mergeCell ref="C3:D3"/>
    <mergeCell ref="G3:H3"/>
    <mergeCell ref="C28:C29"/>
    <mergeCell ref="L3:L4"/>
    <mergeCell ref="D28:D29"/>
    <mergeCell ref="F28:F29"/>
    <mergeCell ref="J3:J4"/>
  </mergeCells>
  <printOptions horizontalCentered="1" verticalCentered="1"/>
  <pageMargins left="0.23622047244094491" right="0.23622047244094491" top="0.74803149606299213" bottom="0.74803149606299213" header="0.31496062992125984" footer="0.31496062992125984"/>
  <pageSetup paperSize="9" scale="85" fitToHeight="0" orientation="landscape" r:id="rId1"/>
  <headerFooter>
    <oddFooter>&amp;L&amp;"Arial,Standard"&amp;8Datum des Ausdrucks
&amp;D&amp;C&amp;"Arial,Standard"&amp;8Kalkulationsdatei (Version 1.0) 
Assistenzleistungen und Teilhabe an Bildung&amp;R&amp;"Arial,Standard"&amp;8Seite &amp;P von &amp;N</oddFooter>
  </headerFooter>
  <rowBreaks count="1" manualBreakCount="1">
    <brk id="25" max="16383"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 id="{FB41671F-32A6-4FCE-A8FC-C2AD9F465AAA}">
            <xm:f>Kalkulationsblatt!$E$23="Teilhabe an Bildung"</xm:f>
            <x14:dxf>
              <fill>
                <patternFill>
                  <bgColor theme="7" tint="0.79998168889431442"/>
                </patternFill>
              </fill>
            </x14:dxf>
          </x14:cfRule>
          <xm:sqref>C12 G5:I23 L5:L23 C30:C34</xm:sqref>
        </x14:conditionalFormatting>
        <x14:conditionalFormatting xmlns:xm="http://schemas.microsoft.com/office/excel/2006/main">
          <x14:cfRule type="expression" priority="2" id="{C50DF373-4E9D-4FAB-A5DD-5E37B4A30D66}">
            <xm:f>Kalkulationsblatt!$E$23="Teilhabe an Bildung"</xm:f>
            <x14:dxf>
              <fill>
                <patternFill>
                  <bgColor theme="7" tint="0.79998168889431442"/>
                </patternFill>
              </fill>
            </x14:dxf>
          </x14:cfRule>
          <xm:sqref>B5:D23</xm:sqref>
        </x14:conditionalFormatting>
        <x14:conditionalFormatting xmlns:xm="http://schemas.microsoft.com/office/excel/2006/main">
          <x14:cfRule type="expression" priority="1" id="{A2A8FD7E-9939-4D3B-8674-A64A051BBA93}">
            <xm:f>Kalkulationsblatt!$E$23="sonstige Kräfte"</xm:f>
            <x14:dxf>
              <fill>
                <patternFill>
                  <bgColor theme="6" tint="0.79998168889431442"/>
                </patternFill>
              </fill>
            </x14:dxf>
          </x14:cfRule>
          <xm:sqref>B5:D23 G5:I23 L5:L23 C30:C34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U45"/>
  <sheetViews>
    <sheetView showGridLines="0" zoomScaleNormal="100" workbookViewId="0">
      <pane ySplit="3" topLeftCell="A4" activePane="bottomLeft" state="frozen"/>
      <selection pane="bottomLeft" activeCell="O18" sqref="O18"/>
    </sheetView>
  </sheetViews>
  <sheetFormatPr baseColWidth="10" defaultColWidth="11.42578125" defaultRowHeight="14.25"/>
  <cols>
    <col min="1" max="1" width="4.5703125" style="176" customWidth="1"/>
    <col min="2" max="2" width="2.28515625" style="176" hidden="1" customWidth="1"/>
    <col min="3" max="3" width="35.7109375" style="176" customWidth="1"/>
    <col min="4" max="4" width="17.140625" style="176" customWidth="1"/>
    <col min="5" max="5" width="14.140625" style="176" customWidth="1"/>
    <col min="6" max="6" width="14.7109375" style="176" customWidth="1"/>
    <col min="7" max="7" width="8.140625" style="176" customWidth="1"/>
    <col min="8" max="8" width="13.28515625" style="176" customWidth="1"/>
    <col min="9" max="9" width="7.5703125" style="176" customWidth="1"/>
    <col min="10" max="10" width="11.7109375" style="176" customWidth="1"/>
    <col min="11" max="11" width="12.5703125" style="176" customWidth="1"/>
    <col min="12" max="12" width="14.42578125" style="176" customWidth="1"/>
    <col min="13" max="13" width="18.28515625" style="176" customWidth="1"/>
    <col min="14" max="14" width="35.7109375" style="176" customWidth="1"/>
    <col min="15" max="15" width="11.85546875" style="176" customWidth="1"/>
    <col min="16" max="16" width="12.28515625" style="176" customWidth="1"/>
    <col min="17" max="17" width="11.42578125" style="176"/>
    <col min="18" max="18" width="13.85546875" style="176" customWidth="1"/>
    <col min="19" max="19" width="12.140625" style="176" bestFit="1" customWidth="1"/>
    <col min="20" max="20" width="12.7109375" style="176" bestFit="1" customWidth="1"/>
    <col min="21" max="16384" width="11.42578125" style="176"/>
  </cols>
  <sheetData>
    <row r="1" spans="1:15" ht="27.6" customHeight="1">
      <c r="A1" s="186"/>
      <c r="B1" s="186"/>
      <c r="C1" s="194" t="str">
        <f>"Kalkulation "&amp;TEXT(Kalkulationsblatt!E23,"")&amp;" "&amp;TEXT(Kalkulationsblatt!C4,"")&amp;" für den Zeitraum von "&amp;TEXT(Kalkulationsblatt!B21,"TT. MMMM JJJJ")&amp;" bis zum "&amp;TEXT(Kalkulationsblatt!E21,"TT. MMMM JJJJ")&amp;""</f>
        <v>Kalkulation   für den Zeitraum von 00. Januar 1900 bis zum 00. Januar 1900</v>
      </c>
      <c r="H1" s="177"/>
      <c r="I1" s="177"/>
      <c r="J1" s="177"/>
      <c r="K1" s="177"/>
      <c r="L1" s="177"/>
      <c r="M1" s="177"/>
      <c r="N1" s="177"/>
    </row>
    <row r="2" spans="1:15" s="190" customFormat="1" ht="58.5" customHeight="1">
      <c r="A2" s="176"/>
      <c r="B2" s="176"/>
      <c r="C2" s="715" t="s">
        <v>74</v>
      </c>
      <c r="D2" s="714" t="s">
        <v>151</v>
      </c>
      <c r="E2" s="187" t="s">
        <v>93</v>
      </c>
      <c r="F2" s="187" t="s">
        <v>139</v>
      </c>
      <c r="G2" s="717" t="s">
        <v>114</v>
      </c>
      <c r="H2" s="718"/>
      <c r="I2" s="717" t="s">
        <v>246</v>
      </c>
      <c r="J2" s="719"/>
      <c r="K2" s="718"/>
      <c r="L2" s="714" t="s">
        <v>153</v>
      </c>
      <c r="M2" s="188"/>
      <c r="N2" s="189"/>
    </row>
    <row r="3" spans="1:15" s="190" customFormat="1" ht="31.5" customHeight="1">
      <c r="A3" s="191"/>
      <c r="B3" s="191"/>
      <c r="C3" s="716"/>
      <c r="D3" s="714"/>
      <c r="E3" s="347">
        <v>0.3</v>
      </c>
      <c r="F3" s="179">
        <f>O14</f>
        <v>0</v>
      </c>
      <c r="G3" s="178" t="s">
        <v>132</v>
      </c>
      <c r="H3" s="222" t="s">
        <v>70</v>
      </c>
      <c r="I3" s="178" t="s">
        <v>138</v>
      </c>
      <c r="J3" s="222" t="s">
        <v>70</v>
      </c>
      <c r="K3" s="222" t="s">
        <v>146</v>
      </c>
      <c r="L3" s="714"/>
      <c r="M3" s="189"/>
      <c r="N3" s="189"/>
    </row>
    <row r="4" spans="1:15" s="190" customFormat="1" ht="20.100000000000001" customHeight="1">
      <c r="A4" s="191"/>
      <c r="B4" s="191"/>
      <c r="C4" s="188"/>
      <c r="D4" s="188"/>
      <c r="E4" s="293"/>
      <c r="F4" s="288"/>
      <c r="G4" s="289"/>
      <c r="H4" s="290"/>
      <c r="I4" s="289"/>
      <c r="J4" s="290"/>
      <c r="K4" s="290"/>
      <c r="L4" s="188"/>
      <c r="M4" s="189"/>
      <c r="N4" s="189"/>
    </row>
    <row r="5" spans="1:15" s="180" customFormat="1" ht="20.100000000000001" customHeight="1">
      <c r="A5" s="192" t="s">
        <v>29</v>
      </c>
      <c r="C5" s="193" t="str">
        <f>"Assistenzkräfte "&amp;TEXT(Kalkulationsblatt!E23,"")&amp;""</f>
        <v xml:space="preserve">Assistenzkräfte </v>
      </c>
    </row>
    <row r="6" spans="1:15" s="184" customFormat="1" ht="20.100000000000001" customHeight="1">
      <c r="C6" s="71" t="str">
        <f>IF('PK Zusammenfassung'!C10=0,"",'PK Zusammenfassung'!C10)</f>
        <v/>
      </c>
      <c r="D6" s="182" t="str">
        <f>'PK AN-Brutto'!W9</f>
        <v/>
      </c>
      <c r="E6" s="166"/>
      <c r="F6" s="268" t="str">
        <f>IF(D6="","",ROUND(($D6-'PK AN-Brutto'!N9)*F$3,2))</f>
        <v/>
      </c>
      <c r="G6" s="181" t="str">
        <f>IF(D6="","",IF($O$23=0,"",('PK AN-Brutto'!X9*'PK AG_Brutto'!$O$23+IF('PK AN-Brutto'!X9*'PK AG_Brutto'!$O$23&gt;='PK AG_Brutto'!$O$24+$O$25,$O$25,IF('PK AN-Brutto'!X9*'PK AG_Brutto'!$O$23-'PK AG_Brutto'!$O$24&lt;=0,0,'PK AN-Brutto'!X9*'PK AG_Brutto'!$O$23-'PK AG_Brutto'!$O$24))*'PK AG_Brutto'!$O$30+IF('PK AN-Brutto'!X9*'PK AG_Brutto'!$O$23&gt;='PK AG_Brutto'!$O$24+$O$25,$O$25,IF('PK AN-Brutto'!X9*'PK AG_Brutto'!$O$23-'PK AG_Brutto'!$O$24&lt;=0,0,'PK AN-Brutto'!X9*'PK AG_Brutto'!$O$23-'PK AG_Brutto'!$O$24))*'PK AG_Brutto'!$O$30*$O$31+IF('PK AN-Brutto'!X9*'PK AG_Brutto'!$O$23&gt;='PK AG_Brutto'!$O$24+$O$25,$O$25,IF('PK AN-Brutto'!X9*'PK AG_Brutto'!$O$23-'PK AG_Brutto'!$O$24&lt;=0,0,'PK AN-Brutto'!X9*'PK AG_Brutto'!$O$23-'PK AG_Brutto'!$O$24))*'PK AG_Brutto'!$O$30*$O$32+IF('PK AN-Brutto'!X9*'PK AG_Brutto'!$O$23&gt;='PK AG_Brutto'!$O$26,('PK AN-Brutto'!X9*'PK AG_Brutto'!$O$23-'PK AG_Brutto'!$O$26+'PK AG_Brutto'!$O$26/'PK AG_Brutto'!$O$23*'PK AG_Brutto'!$O$27-'PK AG_Brutto'!$O$28)*'PK AG_Brutto'!$O$14,('PK AN-Brutto'!X9*'PK AG_Brutto'!$O$23/'PK AG_Brutto'!$O$23*'PK AG_Brutto'!$O$27-'PK AG_Brutto'!$O$28)*'PK AG_Brutto'!$O$14)+'PK AN-Brutto'!X9*'PK AG_Brutto'!$O$33)/'PK AN-Brutto'!X9))</f>
        <v/>
      </c>
      <c r="H6" s="182" t="str">
        <f t="shared" ref="H6:H9" si="0">IF(G6="","",ROUND(D6*G6,2))</f>
        <v/>
      </c>
      <c r="I6" s="343"/>
      <c r="J6" s="223" t="str">
        <f t="shared" ref="J6:J9" si="1">IF(I6&gt;0,ROUND(D6*I6,2),"")</f>
        <v/>
      </c>
      <c r="K6" s="304"/>
      <c r="L6" s="223" t="str">
        <f>IF(D6="","",IF(M6="nur eine Option zur Altersversorg. möglich","FEHLER",SUM(D6,E6,F6,H6,J6,K6)))</f>
        <v/>
      </c>
      <c r="M6" s="267" t="str">
        <f>IF(COUNT(H6,I6,K6)&gt;1,"nur eine Option zur Altersversorg. möglich","")</f>
        <v/>
      </c>
      <c r="N6" s="180" t="s">
        <v>101</v>
      </c>
      <c r="O6" s="180"/>
    </row>
    <row r="7" spans="1:15" s="184" customFormat="1" ht="20.100000000000001" customHeight="1">
      <c r="C7" s="71" t="str">
        <f>IF('PK Zusammenfassung'!C11=0,"",'PK Zusammenfassung'!C11)</f>
        <v/>
      </c>
      <c r="D7" s="182" t="str">
        <f>'PK AN-Brutto'!W10</f>
        <v/>
      </c>
      <c r="E7" s="166"/>
      <c r="F7" s="268" t="str">
        <f>IF(D7="","",ROUND(($D7-'PK AN-Brutto'!N10)*F$3,2))</f>
        <v/>
      </c>
      <c r="G7" s="181" t="str">
        <f>IF(D7="","",IF($O$23=0,"",('PK AN-Brutto'!X10*'PK AG_Brutto'!$O$23+IF('PK AN-Brutto'!X10*'PK AG_Brutto'!$O$23&gt;='PK AG_Brutto'!$O$24+$O$25,$O$25,IF('PK AN-Brutto'!X10*'PK AG_Brutto'!$O$23-'PK AG_Brutto'!$O$24&lt;=0,0,'PK AN-Brutto'!X10*'PK AG_Brutto'!$O$23-'PK AG_Brutto'!$O$24))*'PK AG_Brutto'!$O$30+IF('PK AN-Brutto'!X10*'PK AG_Brutto'!$O$23&gt;='PK AG_Brutto'!$O$24+$O$25,$O$25,IF('PK AN-Brutto'!X10*'PK AG_Brutto'!$O$23-'PK AG_Brutto'!$O$24&lt;=0,0,'PK AN-Brutto'!X10*'PK AG_Brutto'!$O$23-'PK AG_Brutto'!$O$24))*'PK AG_Brutto'!$O$30*$O$31+IF('PK AN-Brutto'!X10*'PK AG_Brutto'!$O$23&gt;='PK AG_Brutto'!$O$24+$O$25,$O$25,IF('PK AN-Brutto'!X10*'PK AG_Brutto'!$O$23-'PK AG_Brutto'!$O$24&lt;=0,0,'PK AN-Brutto'!X10*'PK AG_Brutto'!$O$23-'PK AG_Brutto'!$O$24))*'PK AG_Brutto'!$O$30*$O$32+IF('PK AN-Brutto'!X10*'PK AG_Brutto'!$O$23&gt;='PK AG_Brutto'!$O$26,('PK AN-Brutto'!X10*'PK AG_Brutto'!$O$23-'PK AG_Brutto'!$O$26+'PK AG_Brutto'!$O$26/'PK AG_Brutto'!$O$23*'PK AG_Brutto'!$O$27-'PK AG_Brutto'!$O$28)*'PK AG_Brutto'!$O$14,('PK AN-Brutto'!X10*'PK AG_Brutto'!$O$23/'PK AG_Brutto'!$O$23*'PK AG_Brutto'!$O$27-'PK AG_Brutto'!$O$28)*'PK AG_Brutto'!$O$14)+'PK AN-Brutto'!X10*'PK AG_Brutto'!$O$33)/'PK AN-Brutto'!X10))</f>
        <v/>
      </c>
      <c r="H7" s="182" t="str">
        <f t="shared" si="0"/>
        <v/>
      </c>
      <c r="I7" s="343"/>
      <c r="J7" s="223" t="str">
        <f t="shared" si="1"/>
        <v/>
      </c>
      <c r="K7" s="304"/>
      <c r="L7" s="223" t="str">
        <f t="shared" ref="L7:L9" si="2">IF(D7="","",IF(M7="nur eine Option zur Altersversorg. möglich","FEHLER",SUM(D7,E7,F7,H7,J7,K7)))</f>
        <v/>
      </c>
      <c r="M7" s="267" t="str">
        <f t="shared" ref="M7:M15" si="3">IF(COUNT(H7,I7,K7)&gt;1,"nur eine Option zur Altersversorg. möglich","")</f>
        <v/>
      </c>
      <c r="N7" s="197" t="s">
        <v>95</v>
      </c>
      <c r="O7" s="341"/>
    </row>
    <row r="8" spans="1:15" s="184" customFormat="1" ht="20.100000000000001" customHeight="1">
      <c r="C8" s="71" t="str">
        <f>IF('PK Zusammenfassung'!C12=0,"",'PK Zusammenfassung'!C12)</f>
        <v/>
      </c>
      <c r="D8" s="182" t="str">
        <f>'PK AN-Brutto'!W11</f>
        <v/>
      </c>
      <c r="E8" s="166"/>
      <c r="F8" s="268" t="str">
        <f>IF(D8="","",ROUND(($D8-'PK AN-Brutto'!N11)*F$3,2))</f>
        <v/>
      </c>
      <c r="G8" s="181" t="str">
        <f>IF(D8="","",IF($O$23=0,"",('PK AN-Brutto'!X11*'PK AG_Brutto'!$O$23+IF('PK AN-Brutto'!X11*'PK AG_Brutto'!$O$23&gt;='PK AG_Brutto'!$O$24+$O$25,$O$25,IF('PK AN-Brutto'!X11*'PK AG_Brutto'!$O$23-'PK AG_Brutto'!$O$24&lt;=0,0,'PK AN-Brutto'!X11*'PK AG_Brutto'!$O$23-'PK AG_Brutto'!$O$24))*'PK AG_Brutto'!$O$30+IF('PK AN-Brutto'!X11*'PK AG_Brutto'!$O$23&gt;='PK AG_Brutto'!$O$24+$O$25,$O$25,IF('PK AN-Brutto'!X11*'PK AG_Brutto'!$O$23-'PK AG_Brutto'!$O$24&lt;=0,0,'PK AN-Brutto'!X11*'PK AG_Brutto'!$O$23-'PK AG_Brutto'!$O$24))*'PK AG_Brutto'!$O$30*$O$31+IF('PK AN-Brutto'!X11*'PK AG_Brutto'!$O$23&gt;='PK AG_Brutto'!$O$24+$O$25,$O$25,IF('PK AN-Brutto'!X11*'PK AG_Brutto'!$O$23-'PK AG_Brutto'!$O$24&lt;=0,0,'PK AN-Brutto'!X11*'PK AG_Brutto'!$O$23-'PK AG_Brutto'!$O$24))*'PK AG_Brutto'!$O$30*$O$32+IF('PK AN-Brutto'!X11*'PK AG_Brutto'!$O$23&gt;='PK AG_Brutto'!$O$26,('PK AN-Brutto'!X11*'PK AG_Brutto'!$O$23-'PK AG_Brutto'!$O$26+'PK AG_Brutto'!$O$26/'PK AG_Brutto'!$O$23*'PK AG_Brutto'!$O$27-'PK AG_Brutto'!$O$28)*'PK AG_Brutto'!$O$14,('PK AN-Brutto'!X11*'PK AG_Brutto'!$O$23/'PK AG_Brutto'!$O$23*'PK AG_Brutto'!$O$27-'PK AG_Brutto'!$O$28)*'PK AG_Brutto'!$O$14)+'PK AN-Brutto'!X11*'PK AG_Brutto'!$O$33)/'PK AN-Brutto'!X11))</f>
        <v/>
      </c>
      <c r="H8" s="182" t="str">
        <f t="shared" si="0"/>
        <v/>
      </c>
      <c r="I8" s="343"/>
      <c r="J8" s="223" t="str">
        <f t="shared" si="1"/>
        <v/>
      </c>
      <c r="K8" s="304"/>
      <c r="L8" s="223" t="str">
        <f t="shared" si="2"/>
        <v/>
      </c>
      <c r="M8" s="267" t="str">
        <f t="shared" si="3"/>
        <v/>
      </c>
      <c r="N8" s="197" t="s">
        <v>96</v>
      </c>
      <c r="O8" s="341"/>
    </row>
    <row r="9" spans="1:15" s="184" customFormat="1" ht="20.100000000000001" customHeight="1">
      <c r="C9" s="71" t="str">
        <f>IF('PK Zusammenfassung'!C13=0,"",'PK Zusammenfassung'!C13)</f>
        <v/>
      </c>
      <c r="D9" s="182" t="str">
        <f>'PK AN-Brutto'!W12</f>
        <v/>
      </c>
      <c r="E9" s="166"/>
      <c r="F9" s="268" t="str">
        <f>IF(D9="","",ROUND(($D9-'PK AN-Brutto'!N12)*F$3,2))</f>
        <v/>
      </c>
      <c r="G9" s="181" t="str">
        <f>IF(D9="","",IF($O$23=0,"",('PK AN-Brutto'!X12*'PK AG_Brutto'!$O$23+IF('PK AN-Brutto'!X12*'PK AG_Brutto'!$O$23&gt;='PK AG_Brutto'!$O$24+$O$25,$O$25,IF('PK AN-Brutto'!X12*'PK AG_Brutto'!$O$23-'PK AG_Brutto'!$O$24&lt;=0,0,'PK AN-Brutto'!X12*'PK AG_Brutto'!$O$23-'PK AG_Brutto'!$O$24))*'PK AG_Brutto'!$O$30+IF('PK AN-Brutto'!X12*'PK AG_Brutto'!$O$23&gt;='PK AG_Brutto'!$O$24+$O$25,$O$25,IF('PK AN-Brutto'!X12*'PK AG_Brutto'!$O$23-'PK AG_Brutto'!$O$24&lt;=0,0,'PK AN-Brutto'!X12*'PK AG_Brutto'!$O$23-'PK AG_Brutto'!$O$24))*'PK AG_Brutto'!$O$30*$O$31+IF('PK AN-Brutto'!X12*'PK AG_Brutto'!$O$23&gt;='PK AG_Brutto'!$O$24+$O$25,$O$25,IF('PK AN-Brutto'!X12*'PK AG_Brutto'!$O$23-'PK AG_Brutto'!$O$24&lt;=0,0,'PK AN-Brutto'!X12*'PK AG_Brutto'!$O$23-'PK AG_Brutto'!$O$24))*'PK AG_Brutto'!$O$30*$O$32+IF('PK AN-Brutto'!X12*'PK AG_Brutto'!$O$23&gt;='PK AG_Brutto'!$O$26,('PK AN-Brutto'!X12*'PK AG_Brutto'!$O$23-'PK AG_Brutto'!$O$26+'PK AG_Brutto'!$O$26/'PK AG_Brutto'!$O$23*'PK AG_Brutto'!$O$27-'PK AG_Brutto'!$O$28)*'PK AG_Brutto'!$O$14,('PK AN-Brutto'!X12*'PK AG_Brutto'!$O$23/'PK AG_Brutto'!$O$23*'PK AG_Brutto'!$O$27-'PK AG_Brutto'!$O$28)*'PK AG_Brutto'!$O$14)+'PK AN-Brutto'!X12*'PK AG_Brutto'!$O$33)/'PK AN-Brutto'!X12))</f>
        <v/>
      </c>
      <c r="H9" s="182" t="str">
        <f t="shared" si="0"/>
        <v/>
      </c>
      <c r="I9" s="343"/>
      <c r="J9" s="223" t="str">
        <f t="shared" si="1"/>
        <v/>
      </c>
      <c r="K9" s="304"/>
      <c r="L9" s="223" t="str">
        <f t="shared" si="2"/>
        <v/>
      </c>
      <c r="M9" s="267" t="str">
        <f t="shared" si="3"/>
        <v/>
      </c>
      <c r="N9" s="197" t="s">
        <v>97</v>
      </c>
      <c r="O9" s="341"/>
    </row>
    <row r="10" spans="1:15" s="184" customFormat="1" ht="20.100000000000001" customHeight="1">
      <c r="C10" s="71" t="str">
        <f>IF('PK Zusammenfassung'!C14=0,"",'PK Zusammenfassung'!C14)</f>
        <v/>
      </c>
      <c r="D10" s="182" t="str">
        <f>'PK AN-Brutto'!W13</f>
        <v/>
      </c>
      <c r="E10" s="166"/>
      <c r="F10" s="268" t="str">
        <f>IF(D10="","",ROUND(($D10-'PK AN-Brutto'!N13)*F$3,2))</f>
        <v/>
      </c>
      <c r="G10" s="181" t="str">
        <f>IF(D10="","",IF($O$23=0,"",('PK AN-Brutto'!X13*'PK AG_Brutto'!$O$23+IF('PK AN-Brutto'!X13*'PK AG_Brutto'!$O$23&gt;='PK AG_Brutto'!$O$24+$O$25,$O$25,IF('PK AN-Brutto'!X13*'PK AG_Brutto'!$O$23-'PK AG_Brutto'!$O$24&lt;=0,0,'PK AN-Brutto'!X13*'PK AG_Brutto'!$O$23-'PK AG_Brutto'!$O$24))*'PK AG_Brutto'!$O$30+IF('PK AN-Brutto'!X13*'PK AG_Brutto'!$O$23&gt;='PK AG_Brutto'!$O$24+$O$25,$O$25,IF('PK AN-Brutto'!X13*'PK AG_Brutto'!$O$23-'PK AG_Brutto'!$O$24&lt;=0,0,'PK AN-Brutto'!X13*'PK AG_Brutto'!$O$23-'PK AG_Brutto'!$O$24))*'PK AG_Brutto'!$O$30*$O$31+IF('PK AN-Brutto'!X13*'PK AG_Brutto'!$O$23&gt;='PK AG_Brutto'!$O$24+$O$25,$O$25,IF('PK AN-Brutto'!X13*'PK AG_Brutto'!$O$23-'PK AG_Brutto'!$O$24&lt;=0,0,'PK AN-Brutto'!X13*'PK AG_Brutto'!$O$23-'PK AG_Brutto'!$O$24))*'PK AG_Brutto'!$O$30*$O$32+IF('PK AN-Brutto'!X13*'PK AG_Brutto'!$O$23&gt;='PK AG_Brutto'!$O$26,('PK AN-Brutto'!X13*'PK AG_Brutto'!$O$23-'PK AG_Brutto'!$O$26+'PK AG_Brutto'!$O$26/'PK AG_Brutto'!$O$23*'PK AG_Brutto'!$O$27-'PK AG_Brutto'!$O$28)*'PK AG_Brutto'!$O$14,('PK AN-Brutto'!X13*'PK AG_Brutto'!$O$23/'PK AG_Brutto'!$O$23*'PK AG_Brutto'!$O$27-'PK AG_Brutto'!$O$28)*'PK AG_Brutto'!$O$14)+'PK AN-Brutto'!X13*'PK AG_Brutto'!$O$33)/'PK AN-Brutto'!X13))</f>
        <v/>
      </c>
      <c r="H10" s="182" t="str">
        <f t="shared" ref="H10" si="4">IF(G10="","",ROUND(D10*G10,2))</f>
        <v/>
      </c>
      <c r="I10" s="343"/>
      <c r="J10" s="223" t="str">
        <f t="shared" ref="J10" si="5">IF(I10&gt;0,ROUND(D10*I10,2),"")</f>
        <v/>
      </c>
      <c r="K10" s="304"/>
      <c r="L10" s="223" t="str">
        <f t="shared" ref="L10" si="6">IF(D10="","",IF(M10="nur eine Option zur Altersversorg. möglich","FEHLER",SUM(D10,E10,F10,H10,J10,K10)))</f>
        <v/>
      </c>
      <c r="M10" s="267" t="str">
        <f t="shared" ref="M10" si="7">IF(COUNT(H10,I10,K10)&gt;1,"nur eine Option zur Altersversorg. möglich","")</f>
        <v/>
      </c>
      <c r="N10" s="197" t="s">
        <v>134</v>
      </c>
      <c r="O10" s="341"/>
    </row>
    <row r="11" spans="1:15" s="184" customFormat="1" ht="20.100000000000001" customHeight="1">
      <c r="C11" s="71" t="str">
        <f>IF('PK Zusammenfassung'!C15=0,"",'PK Zusammenfassung'!C15)</f>
        <v>Auszubildende/ Studierende</v>
      </c>
      <c r="D11" s="182" t="str">
        <f>'PK AN-Brutto'!W14</f>
        <v/>
      </c>
      <c r="E11" s="166"/>
      <c r="F11" s="182" t="str">
        <f t="shared" ref="F11:F12" si="8">IF(D11="","",ROUND($D11*F$3,2))</f>
        <v/>
      </c>
      <c r="G11" s="181" t="str">
        <f>IF(D11="","",IF($O$23=0,"",('PK AN-Brutto'!X14*'PK AG_Brutto'!$O$23+IF('PK AN-Brutto'!X14*'PK AG_Brutto'!$O$23&gt;='PK AG_Brutto'!$O$24+$O$25,$O$25,IF('PK AN-Brutto'!X14*'PK AG_Brutto'!$O$23-'PK AG_Brutto'!$O$24&lt;=0,0,'PK AN-Brutto'!X14*'PK AG_Brutto'!$O$23-'PK AG_Brutto'!$O$24))*'PK AG_Brutto'!$O$30+IF('PK AN-Brutto'!X14*'PK AG_Brutto'!$O$23&gt;='PK AG_Brutto'!$O$24+$O$25,$O$25,IF('PK AN-Brutto'!X14*'PK AG_Brutto'!$O$23-'PK AG_Brutto'!$O$24&lt;=0,0,'PK AN-Brutto'!X14*'PK AG_Brutto'!$O$23-'PK AG_Brutto'!$O$24))*'PK AG_Brutto'!$O$30*$O$31+IF('PK AN-Brutto'!X14*'PK AG_Brutto'!$O$23&gt;='PK AG_Brutto'!$O$24+$O$25,$O$25,IF('PK AN-Brutto'!X14*'PK AG_Brutto'!$O$23-'PK AG_Brutto'!$O$24&lt;=0,0,'PK AN-Brutto'!X14*'PK AG_Brutto'!$O$23-'PK AG_Brutto'!$O$24))*'PK AG_Brutto'!$O$30*$O$32+IF('PK AN-Brutto'!X14*'PK AG_Brutto'!$O$23&gt;='PK AG_Brutto'!$O$26,('PK AN-Brutto'!X14*'PK AG_Brutto'!$O$23-'PK AG_Brutto'!$O$26+'PK AG_Brutto'!$O$26/'PK AG_Brutto'!$O$23*'PK AG_Brutto'!$O$27-'PK AG_Brutto'!$O$28)*'PK AG_Brutto'!$O$14,('PK AN-Brutto'!X14*'PK AG_Brutto'!$O$23/'PK AG_Brutto'!$O$23*'PK AG_Brutto'!$O$27-'PK AG_Brutto'!$O$28)*'PK AG_Brutto'!$O$14)+'PK AN-Brutto'!X14*'PK AG_Brutto'!$O$33)/'PK AN-Brutto'!X14))</f>
        <v/>
      </c>
      <c r="H11" s="182" t="str">
        <f t="shared" ref="H11:H12" si="9">IF(G11="","",ROUND(D11*G11,2))</f>
        <v/>
      </c>
      <c r="I11" s="343"/>
      <c r="J11" s="223" t="str">
        <f t="shared" ref="J11:J12" si="10">IF(I11&gt;0,ROUND(D11*I11,2),"")</f>
        <v/>
      </c>
      <c r="K11" s="304"/>
      <c r="L11" s="223" t="str">
        <f t="shared" ref="L11:L12" si="11">IF(D11="","",IF(M11="nur eine Option zur Altersversorg. möglich","FEHLER",SUM(D11,E11,F11,H11,J11,K11)))</f>
        <v/>
      </c>
      <c r="M11" s="267"/>
      <c r="N11" s="197" t="s">
        <v>98</v>
      </c>
      <c r="O11" s="341"/>
    </row>
    <row r="12" spans="1:15" s="184" customFormat="1" ht="20.100000000000001" customHeight="1">
      <c r="C12" s="71" t="str">
        <f>IF('PK Zusammenfassung'!C16=0,"",'PK Zusammenfassung'!C16)</f>
        <v>Praktikant:innen</v>
      </c>
      <c r="D12" s="182" t="str">
        <f>'PK AN-Brutto'!W15</f>
        <v/>
      </c>
      <c r="E12" s="166"/>
      <c r="F12" s="182" t="str">
        <f t="shared" si="8"/>
        <v/>
      </c>
      <c r="G12" s="181" t="str">
        <f>IF(D12="","",IF($O$23=0,"",('PK AN-Brutto'!X15*'PK AG_Brutto'!$O$23+IF('PK AN-Brutto'!X15*'PK AG_Brutto'!$O$23&gt;='PK AG_Brutto'!$O$24+$O$25,$O$25,IF('PK AN-Brutto'!X15*'PK AG_Brutto'!$O$23-'PK AG_Brutto'!$O$24&lt;=0,0,'PK AN-Brutto'!X15*'PK AG_Brutto'!$O$23-'PK AG_Brutto'!$O$24))*'PK AG_Brutto'!$O$30+IF('PK AN-Brutto'!X15*'PK AG_Brutto'!$O$23&gt;='PK AG_Brutto'!$O$24+$O$25,$O$25,IF('PK AN-Brutto'!X15*'PK AG_Brutto'!$O$23-'PK AG_Brutto'!$O$24&lt;=0,0,'PK AN-Brutto'!X15*'PK AG_Brutto'!$O$23-'PK AG_Brutto'!$O$24))*'PK AG_Brutto'!$O$30*$O$31+IF('PK AN-Brutto'!X15*'PK AG_Brutto'!$O$23&gt;='PK AG_Brutto'!$O$24+$O$25,$O$25,IF('PK AN-Brutto'!X15*'PK AG_Brutto'!$O$23-'PK AG_Brutto'!$O$24&lt;=0,0,'PK AN-Brutto'!X15*'PK AG_Brutto'!$O$23-'PK AG_Brutto'!$O$24))*'PK AG_Brutto'!$O$30*$O$32+IF('PK AN-Brutto'!X15*'PK AG_Brutto'!$O$23&gt;='PK AG_Brutto'!$O$26,('PK AN-Brutto'!X15*'PK AG_Brutto'!$O$23-'PK AG_Brutto'!$O$26+'PK AG_Brutto'!$O$26/'PK AG_Brutto'!$O$23*'PK AG_Brutto'!$O$27-'PK AG_Brutto'!$O$28)*'PK AG_Brutto'!$O$14,('PK AN-Brutto'!X15*'PK AG_Brutto'!$O$23/'PK AG_Brutto'!$O$23*'PK AG_Brutto'!$O$27-'PK AG_Brutto'!$O$28)*'PK AG_Brutto'!$O$14)+'PK AN-Brutto'!X15*'PK AG_Brutto'!$O$33)/'PK AN-Brutto'!X15))</f>
        <v/>
      </c>
      <c r="H12" s="182" t="str">
        <f t="shared" si="9"/>
        <v/>
      </c>
      <c r="I12" s="343"/>
      <c r="J12" s="223" t="str">
        <f t="shared" si="10"/>
        <v/>
      </c>
      <c r="K12" s="304"/>
      <c r="L12" s="223" t="str">
        <f t="shared" si="11"/>
        <v/>
      </c>
      <c r="M12" s="267" t="str">
        <f t="shared" si="3"/>
        <v/>
      </c>
      <c r="N12" s="197" t="s">
        <v>99</v>
      </c>
      <c r="O12" s="341"/>
    </row>
    <row r="13" spans="1:15" s="184" customFormat="1" ht="20.100000000000001" customHeight="1" thickBot="1">
      <c r="C13" s="71" t="str">
        <f>IF('PK Zusammenfassung'!C17=0,"",'PK Zusammenfassung'!C17)</f>
        <v>MiniJob</v>
      </c>
      <c r="D13" s="182" t="str">
        <f>'PK AN-Brutto'!W16</f>
        <v/>
      </c>
      <c r="E13" s="182" t="str">
        <f>IF(D13="","",D13*$E$3)</f>
        <v/>
      </c>
      <c r="F13" s="166"/>
      <c r="G13" s="181" t="str">
        <f>IF(D13="","",IF($O$23=0,"",('PK AN-Brutto'!X16*'PK AG_Brutto'!$O$23+IF('PK AN-Brutto'!X16*'PK AG_Brutto'!$O$23&gt;='PK AG_Brutto'!$O$24+$O$25,$O$25,IF('PK AN-Brutto'!X16*'PK AG_Brutto'!$O$23-'PK AG_Brutto'!$O$24&lt;=0,0,'PK AN-Brutto'!X16*'PK AG_Brutto'!$O$23-'PK AG_Brutto'!$O$24))*'PK AG_Brutto'!$O$30+IF('PK AN-Brutto'!X16*'PK AG_Brutto'!$O$23&gt;='PK AG_Brutto'!$O$24+$O$25,$O$25,IF('PK AN-Brutto'!X16*'PK AG_Brutto'!$O$23-'PK AG_Brutto'!$O$24&lt;=0,0,'PK AN-Brutto'!X16*'PK AG_Brutto'!$O$23-'PK AG_Brutto'!$O$24))*'PK AG_Brutto'!$O$30*$O$31+IF('PK AN-Brutto'!X16*'PK AG_Brutto'!$O$23&gt;='PK AG_Brutto'!$O$24+$O$25,$O$25,IF('PK AN-Brutto'!X16*'PK AG_Brutto'!$O$23-'PK AG_Brutto'!$O$24&lt;=0,0,'PK AN-Brutto'!X16*'PK AG_Brutto'!$O$23-'PK AG_Brutto'!$O$24))*'PK AG_Brutto'!$O$30*$O$32+IF('PK AN-Brutto'!X16*'PK AG_Brutto'!$O$23&gt;='PK AG_Brutto'!$O$26,('PK AN-Brutto'!X16*'PK AG_Brutto'!$O$23-'PK AG_Brutto'!$O$26+'PK AG_Brutto'!$O$26/'PK AG_Brutto'!$O$23*'PK AG_Brutto'!$O$27-'PK AG_Brutto'!$O$28)*'PK AG_Brutto'!$O$14,('PK AN-Brutto'!X16*'PK AG_Brutto'!$O$23/'PK AG_Brutto'!$O$23*'PK AG_Brutto'!$O$27-'PK AG_Brutto'!$O$28)*'PK AG_Brutto'!$O$14)+'PK AN-Brutto'!X16*'PK AG_Brutto'!$O$33)/'PK AN-Brutto'!X16))</f>
        <v/>
      </c>
      <c r="H13" s="182" t="str">
        <f t="shared" ref="H13" si="12">IF(G13="","",ROUND(D13*G13,2))</f>
        <v/>
      </c>
      <c r="I13" s="343"/>
      <c r="J13" s="223" t="str">
        <f t="shared" ref="J13" si="13">IF(I13&gt;0,ROUND(D13*I13,2),"")</f>
        <v/>
      </c>
      <c r="K13" s="304"/>
      <c r="L13" s="223" t="str">
        <f t="shared" ref="L13:L15" si="14">IF(D13="","",IF(M13="nur eine Option zur Altersversorg. möglich","FEHLER",SUM(D13,E13,F13,H13,J13,K13)))</f>
        <v/>
      </c>
      <c r="M13" s="267" t="str">
        <f t="shared" si="3"/>
        <v/>
      </c>
      <c r="N13" s="197" t="s">
        <v>100</v>
      </c>
      <c r="O13" s="342"/>
    </row>
    <row r="14" spans="1:15" s="184" customFormat="1" ht="20.100000000000001" customHeight="1" thickBot="1">
      <c r="C14" s="71" t="str">
        <f>IF('PK Zusammenfassung'!C18=0,"",'PK Zusammenfassung'!C18)</f>
        <v>Honorare</v>
      </c>
      <c r="D14" s="182" t="str">
        <f>'PK AN-Brutto'!W17</f>
        <v/>
      </c>
      <c r="E14" s="166"/>
      <c r="F14" s="166"/>
      <c r="G14" s="166"/>
      <c r="H14" s="166"/>
      <c r="I14" s="166"/>
      <c r="J14" s="166"/>
      <c r="K14" s="166"/>
      <c r="L14" s="223" t="str">
        <f t="shared" si="14"/>
        <v/>
      </c>
      <c r="M14" s="267" t="str">
        <f t="shared" si="3"/>
        <v/>
      </c>
      <c r="O14" s="217">
        <f>SUM(O7:O13)</f>
        <v>0</v>
      </c>
    </row>
    <row r="15" spans="1:15" s="203" customFormat="1" ht="20.100000000000001" customHeight="1">
      <c r="A15" s="184"/>
      <c r="B15" s="184"/>
      <c r="C15" s="71" t="str">
        <f>IF('PK Zusammenfassung'!C19=0,"",'PK Zusammenfassung'!C19)</f>
        <v>BFD/ FSJ</v>
      </c>
      <c r="D15" s="182" t="str">
        <f>'PK AN-Brutto'!W18</f>
        <v/>
      </c>
      <c r="E15" s="166"/>
      <c r="F15" s="166"/>
      <c r="G15" s="166"/>
      <c r="H15" s="166"/>
      <c r="I15" s="166"/>
      <c r="J15" s="166"/>
      <c r="K15" s="166"/>
      <c r="L15" s="223" t="str">
        <f t="shared" si="14"/>
        <v/>
      </c>
      <c r="M15" s="267" t="str">
        <f t="shared" si="3"/>
        <v/>
      </c>
    </row>
    <row r="16" spans="1:15" s="184" customFormat="1" ht="20.100000000000001" customHeight="1">
      <c r="C16" s="206"/>
      <c r="D16" s="207"/>
      <c r="E16" s="207"/>
      <c r="F16" s="183"/>
      <c r="G16" s="183"/>
      <c r="H16" s="183"/>
      <c r="I16" s="183"/>
      <c r="J16" s="183"/>
      <c r="K16" s="183"/>
      <c r="L16" s="208"/>
      <c r="M16" s="203"/>
    </row>
    <row r="17" spans="1:21" s="184" customFormat="1" ht="20.100000000000001" customHeight="1">
      <c r="A17" s="209" t="s">
        <v>250</v>
      </c>
      <c r="C17" s="194" t="s">
        <v>0</v>
      </c>
      <c r="D17" s="210"/>
      <c r="E17" s="210"/>
      <c r="F17" s="183"/>
      <c r="G17" s="183"/>
      <c r="H17" s="183"/>
      <c r="I17" s="183"/>
      <c r="J17" s="183"/>
      <c r="K17" s="183"/>
      <c r="L17" s="208"/>
      <c r="N17" s="346" t="s">
        <v>158</v>
      </c>
      <c r="O17"/>
    </row>
    <row r="18" spans="1:21" s="184" customFormat="1" ht="20.100000000000001" customHeight="1">
      <c r="C18" s="195" t="str">
        <f>IF('PK Zusammenfassung'!C23=0,"",'PK Zusammenfassung'!C23)</f>
        <v/>
      </c>
      <c r="D18" s="182" t="str">
        <f>'PK AN-Brutto'!W21</f>
        <v/>
      </c>
      <c r="E18" s="166"/>
      <c r="F18" s="182" t="str">
        <f>IF(D18="","",ROUND($D18*F$3,2))</f>
        <v/>
      </c>
      <c r="G18" s="181" t="str">
        <f>IF(D18="","",IF($O$23=0,"",('PK AN-Brutto'!X21*'PK AG_Brutto'!$O$23+IF('PK AN-Brutto'!X21*'PK AG_Brutto'!$O$23&gt;='PK AG_Brutto'!$O$24+$O$25,$O$25,IF('PK AN-Brutto'!X21*'PK AG_Brutto'!$O$23-'PK AG_Brutto'!$O$24&lt;=0,0,'PK AN-Brutto'!X21*'PK AG_Brutto'!$O$23-'PK AG_Brutto'!$O$24))*'PK AG_Brutto'!$O$30+IF('PK AN-Brutto'!X21*'PK AG_Brutto'!$O$23&gt;='PK AG_Brutto'!$O$24+$O$25,$O$25,IF('PK AN-Brutto'!X21*'PK AG_Brutto'!$O$23-'PK AG_Brutto'!$O$24&lt;=0,0,'PK AN-Brutto'!X21*'PK AG_Brutto'!$O$23-'PK AG_Brutto'!$O$24))*'PK AG_Brutto'!$O$30*$O$31+IF('PK AN-Brutto'!X21*'PK AG_Brutto'!$O$23&gt;='PK AG_Brutto'!$O$24+$O$25,$O$25,IF('PK AN-Brutto'!X21*'PK AG_Brutto'!$O$23-'PK AG_Brutto'!$O$24&lt;=0,0,'PK AN-Brutto'!X21*'PK AG_Brutto'!$O$23-'PK AG_Brutto'!$O$24))*'PK AG_Brutto'!$O$30*$O$32+IF('PK AN-Brutto'!X21*'PK AG_Brutto'!$O$23&gt;='PK AG_Brutto'!$O$26,('PK AN-Brutto'!X21*'PK AG_Brutto'!$O$23-'PK AG_Brutto'!$O$26+'PK AG_Brutto'!$O$26/'PK AG_Brutto'!$O$23*'PK AG_Brutto'!$O$27-'PK AG_Brutto'!$O$28)*'PK AG_Brutto'!$O$14,('PK AN-Brutto'!X21*'PK AG_Brutto'!$O$23/'PK AG_Brutto'!$O$23*'PK AG_Brutto'!$O$27-'PK AG_Brutto'!$O$28)*'PK AG_Brutto'!$O$14)+'PK AN-Brutto'!X21*'PK AG_Brutto'!$O$33)/'PK AN-Brutto'!X21))</f>
        <v/>
      </c>
      <c r="H18" s="182" t="str">
        <f>IF(G18="","",ROUND(D18*G18,2))</f>
        <v/>
      </c>
      <c r="I18" s="343"/>
      <c r="J18" s="223" t="str">
        <f>IF(I18&gt;0,ROUND(D18*I18,2),"")</f>
        <v/>
      </c>
      <c r="K18" s="304"/>
      <c r="L18" s="223" t="str">
        <f>IF(D18="","",IF(M18="nur eine Option zur Altersversorg. möglich","FEHLER",SUM(D18,E18,F18,H18,J18,K18)))</f>
        <v/>
      </c>
      <c r="M18" s="267" t="str">
        <f>IF(COUNT(H18,I18,K18)&gt;1,"nur eine Option zur Altersversorg. möglich","")</f>
        <v/>
      </c>
      <c r="N18" s="70" t="s">
        <v>165</v>
      </c>
      <c r="O18" s="349"/>
      <c r="P18" s="350" t="str">
        <f>IF('PK Zusammenfassung'!J35&gt;0,ROUND('PK Zusammenfassung'!J35*O18,2),"")</f>
        <v/>
      </c>
    </row>
    <row r="19" spans="1:21" s="184" customFormat="1" ht="20.100000000000001" customHeight="1">
      <c r="C19" s="195" t="str">
        <f>IF('PK Zusammenfassung'!C24=0,"",'PK Zusammenfassung'!C24)</f>
        <v/>
      </c>
      <c r="D19" s="182" t="str">
        <f>'PK AN-Brutto'!W22</f>
        <v/>
      </c>
      <c r="E19" s="166"/>
      <c r="F19" s="182" t="str">
        <f>IF(D19="","",ROUND($D19*F$3,2))</f>
        <v/>
      </c>
      <c r="G19" s="181" t="str">
        <f>IF(D19="","",IF($O$23=0,"",('PK AN-Brutto'!X22*'PK AG_Brutto'!$O$23+IF('PK AN-Brutto'!X22*'PK AG_Brutto'!$O$23&gt;='PK AG_Brutto'!$O$24+$O$25,$O$25,IF('PK AN-Brutto'!X22*'PK AG_Brutto'!$O$23-'PK AG_Brutto'!$O$24&lt;=0,0,'PK AN-Brutto'!X22*'PK AG_Brutto'!$O$23-'PK AG_Brutto'!$O$24))*'PK AG_Brutto'!$O$30+IF('PK AN-Brutto'!X22*'PK AG_Brutto'!$O$23&gt;='PK AG_Brutto'!$O$24+$O$25,$O$25,IF('PK AN-Brutto'!X22*'PK AG_Brutto'!$O$23-'PK AG_Brutto'!$O$24&lt;=0,0,'PK AN-Brutto'!X22*'PK AG_Brutto'!$O$23-'PK AG_Brutto'!$O$24))*'PK AG_Brutto'!$O$30*$O$31+IF('PK AN-Brutto'!X22*'PK AG_Brutto'!$O$23&gt;='PK AG_Brutto'!$O$24+$O$25,$O$25,IF('PK AN-Brutto'!X22*'PK AG_Brutto'!$O$23-'PK AG_Brutto'!$O$24&lt;=0,0,'PK AN-Brutto'!X22*'PK AG_Brutto'!$O$23-'PK AG_Brutto'!$O$24))*'PK AG_Brutto'!$O$30*$O$32+IF('PK AN-Brutto'!X22*'PK AG_Brutto'!$O$23&gt;='PK AG_Brutto'!$O$26,('PK AN-Brutto'!X22*'PK AG_Brutto'!$O$23-'PK AG_Brutto'!$O$26+'PK AG_Brutto'!$O$26/'PK AG_Brutto'!$O$23*'PK AG_Brutto'!$O$27-'PK AG_Brutto'!$O$28)*'PK AG_Brutto'!$O$14,('PK AN-Brutto'!X22*'PK AG_Brutto'!$O$23/'PK AG_Brutto'!$O$23*'PK AG_Brutto'!$O$27-'PK AG_Brutto'!$O$28)*'PK AG_Brutto'!$O$14)+'PK AN-Brutto'!X22*'PK AG_Brutto'!$O$33)/'PK AN-Brutto'!X22))</f>
        <v/>
      </c>
      <c r="H19" s="182" t="str">
        <f>IF(G19="","",ROUND(D19*G19,2))</f>
        <v/>
      </c>
      <c r="I19" s="343"/>
      <c r="J19" s="223" t="str">
        <f>IF(I19&gt;0,ROUND(D19*I19,2),"")</f>
        <v/>
      </c>
      <c r="K19" s="304"/>
      <c r="L19" s="223" t="str">
        <f>IF(D19="","",IF(M19="nur eine Option zur Altersversorg. möglich","FEHLER",SUM(D19,E19,F19,H19,J19,K19)))</f>
        <v/>
      </c>
      <c r="M19" s="267" t="str">
        <f>IF(COUNT(H19,I19,K19)&gt;1,"nur eine Option zur Altersversorg. möglich","")</f>
        <v/>
      </c>
    </row>
    <row r="20" spans="1:21" s="184" customFormat="1" ht="20.100000000000001" customHeight="1">
      <c r="C20" s="215"/>
      <c r="D20" s="210"/>
      <c r="E20" s="210"/>
      <c r="F20" s="183"/>
      <c r="G20" s="183"/>
      <c r="H20" s="183"/>
      <c r="I20" s="183"/>
      <c r="J20" s="183"/>
      <c r="K20" s="183"/>
      <c r="L20" s="208"/>
    </row>
    <row r="21" spans="1:21" s="184" customFormat="1" ht="20.100000000000001" customHeight="1">
      <c r="A21" s="209" t="s">
        <v>33</v>
      </c>
      <c r="C21" s="194" t="s">
        <v>1</v>
      </c>
      <c r="D21" s="210"/>
      <c r="E21" s="210"/>
      <c r="F21" s="183"/>
      <c r="G21" s="183"/>
      <c r="H21" s="183"/>
      <c r="I21" s="183"/>
      <c r="J21" s="183"/>
      <c r="K21" s="183"/>
      <c r="L21" s="208"/>
      <c r="N21" s="194" t="s">
        <v>113</v>
      </c>
      <c r="P21" s="180"/>
      <c r="Q21" s="194" t="s">
        <v>123</v>
      </c>
      <c r="U21" s="180"/>
    </row>
    <row r="22" spans="1:21" s="203" customFormat="1" ht="20.100000000000001" customHeight="1">
      <c r="A22" s="184"/>
      <c r="B22" s="184"/>
      <c r="C22" s="71" t="str">
        <f>IF('PK Zusammenfassung'!C28=0,"",'PK Zusammenfassung'!C28)</f>
        <v/>
      </c>
      <c r="D22" s="182" t="str">
        <f>'PK AN-Brutto'!W25</f>
        <v/>
      </c>
      <c r="E22" s="166"/>
      <c r="F22" s="182" t="str">
        <f>IF(D22="","",ROUND($D22*F$3,2))</f>
        <v/>
      </c>
      <c r="G22" s="181" t="str">
        <f>IF(D22="","",IF($O$23=0,"",('PK AN-Brutto'!X25*'PK AG_Brutto'!$O$23+IF('PK AN-Brutto'!X25*'PK AG_Brutto'!$O$23&gt;='PK AG_Brutto'!$O$24+$O$25,$O$25,IF('PK AN-Brutto'!X25*'PK AG_Brutto'!$O$23-'PK AG_Brutto'!$O$24&lt;=0,0,'PK AN-Brutto'!X25*'PK AG_Brutto'!$O$23-'PK AG_Brutto'!$O$24))*'PK AG_Brutto'!$O$30+IF('PK AN-Brutto'!X25*'PK AG_Brutto'!$O$23&gt;='PK AG_Brutto'!$O$24+$O$25,$O$25,IF('PK AN-Brutto'!X25*'PK AG_Brutto'!$O$23-'PK AG_Brutto'!$O$24&lt;=0,0,'PK AN-Brutto'!X25*'PK AG_Brutto'!$O$23-'PK AG_Brutto'!$O$24))*'PK AG_Brutto'!$O$30*$O$31+IF('PK AN-Brutto'!X25*'PK AG_Brutto'!$O$23&gt;='PK AG_Brutto'!$O$24+$O$25,$O$25,IF('PK AN-Brutto'!X25*'PK AG_Brutto'!$O$23-'PK AG_Brutto'!$O$24&lt;=0,0,'PK AN-Brutto'!X25*'PK AG_Brutto'!$O$23-'PK AG_Brutto'!$O$24))*'PK AG_Brutto'!$O$30*$O$32+IF('PK AN-Brutto'!X25*'PK AG_Brutto'!$O$23&gt;='PK AG_Brutto'!$O$26,('PK AN-Brutto'!X25*'PK AG_Brutto'!$O$23-'PK AG_Brutto'!$O$26+'PK AG_Brutto'!$O$26/'PK AG_Brutto'!$O$23*'PK AG_Brutto'!$O$27-'PK AG_Brutto'!$O$28)*'PK AG_Brutto'!$O$14,('PK AN-Brutto'!X25*'PK AG_Brutto'!$O$23/'PK AG_Brutto'!$O$23*'PK AG_Brutto'!$O$27-'PK AG_Brutto'!$O$28)*'PK AG_Brutto'!$O$14)+'PK AN-Brutto'!X25*'PK AG_Brutto'!$O$33)/'PK AN-Brutto'!X25))</f>
        <v/>
      </c>
      <c r="H22" s="182" t="str">
        <f>IF(G22="","",ROUND(D22*G22,2))</f>
        <v/>
      </c>
      <c r="I22" s="343"/>
      <c r="J22" s="223" t="str">
        <f>IF(I22&gt;0,ROUND(D22*I22,2),"")</f>
        <v/>
      </c>
      <c r="K22" s="304"/>
      <c r="L22" s="223" t="str">
        <f>IF(D22="","",IF(M22="nur eine Option zur Altersversorg. möglich","FEHLER",SUM(D22,E22,F22,H22,J22,K22)))</f>
        <v/>
      </c>
      <c r="M22" s="267" t="str">
        <f>IF(COUNT(H22,I22,K22)&gt;1,"nur eine Option zur Altersversorg. möglich","")</f>
        <v/>
      </c>
      <c r="N22" s="184"/>
      <c r="O22" s="184"/>
      <c r="P22" s="184"/>
      <c r="Q22" s="712" t="s">
        <v>154</v>
      </c>
      <c r="R22" s="712"/>
      <c r="S22" s="713"/>
      <c r="T22" s="314"/>
      <c r="U22" s="196"/>
    </row>
    <row r="23" spans="1:21" s="184" customFormat="1" ht="20.100000000000001" customHeight="1">
      <c r="C23" s="71" t="str">
        <f>IF('PK Zusammenfassung'!C29=0,"",'PK Zusammenfassung'!C29)</f>
        <v/>
      </c>
      <c r="D23" s="182" t="str">
        <f>'PK AN-Brutto'!W26</f>
        <v/>
      </c>
      <c r="E23" s="166"/>
      <c r="F23" s="182" t="str">
        <f>IF(D23="","",ROUND($D23*F$3,2))</f>
        <v/>
      </c>
      <c r="G23" s="181" t="str">
        <f>IF(D23="","",IF($O$23=0,"",('PK AN-Brutto'!X26*'PK AG_Brutto'!$O$23+IF('PK AN-Brutto'!X26*'PK AG_Brutto'!$O$23&gt;='PK AG_Brutto'!$O$24+$O$25,$O$25,IF('PK AN-Brutto'!X26*'PK AG_Brutto'!$O$23-'PK AG_Brutto'!$O$24&lt;=0,0,'PK AN-Brutto'!X26*'PK AG_Brutto'!$O$23-'PK AG_Brutto'!$O$24))*'PK AG_Brutto'!$O$30+IF('PK AN-Brutto'!X26*'PK AG_Brutto'!$O$23&gt;='PK AG_Brutto'!$O$24+$O$25,$O$25,IF('PK AN-Brutto'!X26*'PK AG_Brutto'!$O$23-'PK AG_Brutto'!$O$24&lt;=0,0,'PK AN-Brutto'!X26*'PK AG_Brutto'!$O$23-'PK AG_Brutto'!$O$24))*'PK AG_Brutto'!$O$30*$O$31+IF('PK AN-Brutto'!X26*'PK AG_Brutto'!$O$23&gt;='PK AG_Brutto'!$O$24+$O$25,$O$25,IF('PK AN-Brutto'!X26*'PK AG_Brutto'!$O$23-'PK AG_Brutto'!$O$24&lt;=0,0,'PK AN-Brutto'!X26*'PK AG_Brutto'!$O$23-'PK AG_Brutto'!$O$24))*'PK AG_Brutto'!$O$30*$O$32+IF('PK AN-Brutto'!X26*'PK AG_Brutto'!$O$23&gt;='PK AG_Brutto'!$O$26,('PK AN-Brutto'!X26*'PK AG_Brutto'!$O$23-'PK AG_Brutto'!$O$26+'PK AG_Brutto'!$O$26/'PK AG_Brutto'!$O$23*'PK AG_Brutto'!$O$27-'PK AG_Brutto'!$O$28)*'PK AG_Brutto'!$O$14,('PK AN-Brutto'!X26*'PK AG_Brutto'!$O$23/'PK AG_Brutto'!$O$23*'PK AG_Brutto'!$O$27-'PK AG_Brutto'!$O$28)*'PK AG_Brutto'!$O$14)+'PK AN-Brutto'!X26*'PK AG_Brutto'!$O$33)/'PK AN-Brutto'!X26))</f>
        <v/>
      </c>
      <c r="H23" s="182" t="str">
        <f>IF(G23="","",ROUND(D23*G23,2))</f>
        <v/>
      </c>
      <c r="I23" s="343"/>
      <c r="J23" s="223" t="str">
        <f>IF(I23&gt;0,ROUND(D23*I23,2),"")</f>
        <v/>
      </c>
      <c r="K23" s="304"/>
      <c r="L23" s="223" t="str">
        <f>IF(D23="","",IF(M23="nur eine Option zur Altersversorg. möglich","FEHLER",SUM(D23,E23,F23,H23,J23,K23)))</f>
        <v/>
      </c>
      <c r="M23" s="267" t="str">
        <f>IF(COUNT(H23,I23,K23)&gt;1,"nur eine Option zur Altersversorg. möglich","")</f>
        <v/>
      </c>
      <c r="N23" s="197" t="s">
        <v>115</v>
      </c>
      <c r="O23" s="343"/>
      <c r="Q23" s="184" t="s">
        <v>115</v>
      </c>
      <c r="T23" s="198">
        <f>T22*O23</f>
        <v>0</v>
      </c>
    </row>
    <row r="24" spans="1:21" s="184" customFormat="1" ht="20.100000000000001" customHeight="1">
      <c r="C24" s="71" t="str">
        <f>IF('PK Zusammenfassung'!C30=0,"",'PK Zusammenfassung'!C30)</f>
        <v/>
      </c>
      <c r="D24" s="182" t="str">
        <f>'PK AN-Brutto'!W27</f>
        <v/>
      </c>
      <c r="E24" s="166"/>
      <c r="F24" s="182" t="str">
        <f>IF(D24="","",ROUND($D24*F$3,2))</f>
        <v/>
      </c>
      <c r="G24" s="181" t="str">
        <f>IF(D24="","",IF($O$23=0,"",('PK AN-Brutto'!X27*'PK AG_Brutto'!$O$23+IF('PK AN-Brutto'!X27*'PK AG_Brutto'!$O$23&gt;='PK AG_Brutto'!$O$24+$O$25,$O$25,IF('PK AN-Brutto'!X27*'PK AG_Brutto'!$O$23-'PK AG_Brutto'!$O$24&lt;=0,0,'PK AN-Brutto'!X27*'PK AG_Brutto'!$O$23-'PK AG_Brutto'!$O$24))*'PK AG_Brutto'!$O$30+IF('PK AN-Brutto'!X27*'PK AG_Brutto'!$O$23&gt;='PK AG_Brutto'!$O$24+$O$25,$O$25,IF('PK AN-Brutto'!X27*'PK AG_Brutto'!$O$23-'PK AG_Brutto'!$O$24&lt;=0,0,'PK AN-Brutto'!X27*'PK AG_Brutto'!$O$23-'PK AG_Brutto'!$O$24))*'PK AG_Brutto'!$O$30*$O$31+IF('PK AN-Brutto'!X27*'PK AG_Brutto'!$O$23&gt;='PK AG_Brutto'!$O$24+$O$25,$O$25,IF('PK AN-Brutto'!X27*'PK AG_Brutto'!$O$23-'PK AG_Brutto'!$O$24&lt;=0,0,'PK AN-Brutto'!X27*'PK AG_Brutto'!$O$23-'PK AG_Brutto'!$O$24))*'PK AG_Brutto'!$O$30*$O$32+IF('PK AN-Brutto'!X27*'PK AG_Brutto'!$O$23&gt;='PK AG_Brutto'!$O$26,('PK AN-Brutto'!X27*'PK AG_Brutto'!$O$23-'PK AG_Brutto'!$O$26+'PK AG_Brutto'!$O$26/'PK AG_Brutto'!$O$23*'PK AG_Brutto'!$O$27-'PK AG_Brutto'!$O$28)*'PK AG_Brutto'!$O$14,('PK AN-Brutto'!X27*'PK AG_Brutto'!$O$23/'PK AG_Brutto'!$O$23*'PK AG_Brutto'!$O$27-'PK AG_Brutto'!$O$28)*'PK AG_Brutto'!$O$14)+'PK AN-Brutto'!X27*'PK AG_Brutto'!$O$33)/'PK AN-Brutto'!X27))</f>
        <v/>
      </c>
      <c r="H24" s="182" t="str">
        <f>IF(G24="","",ROUND(D24*G24,2))</f>
        <v/>
      </c>
      <c r="I24" s="343"/>
      <c r="J24" s="223" t="str">
        <f>IF(I24&gt;0,ROUND(D24*I24,2),"")</f>
        <v/>
      </c>
      <c r="K24" s="304"/>
      <c r="L24" s="223" t="str">
        <f>IF(D24="","",IF(M24="nur eine Option zur Altersversorg. möglich","FEHLER",SUM(D24,E24,F24,H24,J24,K24)))</f>
        <v/>
      </c>
      <c r="M24" s="267" t="str">
        <f>IF(COUNT(H24,I24,K24)&gt;1,"nur eine Option zur Altersversorg. möglich","")</f>
        <v/>
      </c>
      <c r="N24" s="197" t="s">
        <v>116</v>
      </c>
      <c r="O24" s="344"/>
      <c r="Q24" s="184" t="s">
        <v>124</v>
      </c>
      <c r="S24" s="199">
        <f>IF(T23-O24&gt;=0,T23-O24,0)</f>
        <v>0</v>
      </c>
    </row>
    <row r="25" spans="1:21" s="184" customFormat="1" ht="20.100000000000001" customHeight="1">
      <c r="C25" s="71" t="str">
        <f>IF('PK Zusammenfassung'!C31=0,"",'PK Zusammenfassung'!C31)</f>
        <v>MiniJob</v>
      </c>
      <c r="D25" s="182" t="str">
        <f>'PK AN-Brutto'!W28</f>
        <v/>
      </c>
      <c r="E25" s="182" t="str">
        <f>IF(D25="","",D25*$E$3)</f>
        <v/>
      </c>
      <c r="F25" s="166"/>
      <c r="G25" s="181" t="str">
        <f>IF(D25="","",IF($O$23=0,"",('PK AN-Brutto'!X28*'PK AG_Brutto'!$O$23+IF('PK AN-Brutto'!X28*'PK AG_Brutto'!$O$23&gt;='PK AG_Brutto'!$O$24+$O$25,$O$25,IF('PK AN-Brutto'!X28*'PK AG_Brutto'!$O$23-'PK AG_Brutto'!$O$24&lt;=0,0,'PK AN-Brutto'!X28*'PK AG_Brutto'!$O$23-'PK AG_Brutto'!$O$24))*'PK AG_Brutto'!$O$30+IF('PK AN-Brutto'!X28*'PK AG_Brutto'!$O$23&gt;='PK AG_Brutto'!$O$24+$O$25,$O$25,IF('PK AN-Brutto'!X28*'PK AG_Brutto'!$O$23-'PK AG_Brutto'!$O$24&lt;=0,0,'PK AN-Brutto'!X28*'PK AG_Brutto'!$O$23-'PK AG_Brutto'!$O$24))*'PK AG_Brutto'!$O$30*$O$31+IF('PK AN-Brutto'!X28*'PK AG_Brutto'!$O$23&gt;='PK AG_Brutto'!$O$24+$O$25,$O$25,IF('PK AN-Brutto'!X28*'PK AG_Brutto'!$O$23-'PK AG_Brutto'!$O$24&lt;=0,0,'PK AN-Brutto'!X28*'PK AG_Brutto'!$O$23-'PK AG_Brutto'!$O$24))*'PK AG_Brutto'!$O$30*$O$32+IF('PK AN-Brutto'!X28*'PK AG_Brutto'!$O$23&gt;='PK AG_Brutto'!$O$26,('PK AN-Brutto'!X28*'PK AG_Brutto'!$O$23-'PK AG_Brutto'!$O$26+'PK AG_Brutto'!$O$26/'PK AG_Brutto'!$O$23*'PK AG_Brutto'!$O$27-'PK AG_Brutto'!$O$28)*'PK AG_Brutto'!$O$14,('PK AN-Brutto'!X28*'PK AG_Brutto'!$O$23/'PK AG_Brutto'!$O$23*'PK AG_Brutto'!$O$27-'PK AG_Brutto'!$O$28)*'PK AG_Brutto'!$O$14)+'PK AN-Brutto'!X28*'PK AG_Brutto'!$O$33)/'PK AN-Brutto'!X28))</f>
        <v/>
      </c>
      <c r="H25" s="182" t="str">
        <f>IF(G25="","",ROUND(D25*G25,2))</f>
        <v/>
      </c>
      <c r="I25" s="343"/>
      <c r="J25" s="223" t="str">
        <f>IF(I25&gt;0,ROUND(D25*I25,2),"")</f>
        <v/>
      </c>
      <c r="K25" s="304"/>
      <c r="L25" s="223" t="str">
        <f>IF(D25="","",IF(M25="nur eine Option zur Altersversorg. möglich","FEHLER",SUM(D25,E25,F25,H25,J25,K25)))</f>
        <v/>
      </c>
      <c r="M25" s="267" t="str">
        <f>IF(COUNT(H25,I25,K25)&gt;1,"nur eine Option zur Altersversorg. möglich","")</f>
        <v/>
      </c>
      <c r="N25" s="197" t="s">
        <v>118</v>
      </c>
      <c r="O25" s="344"/>
      <c r="Q25" s="184" t="s">
        <v>125</v>
      </c>
      <c r="S25" s="200">
        <f>IF(S24&lt;=O25,S24,O25)</f>
        <v>0</v>
      </c>
      <c r="T25" s="199"/>
    </row>
    <row r="26" spans="1:21" s="184" customFormat="1" ht="20.100000000000001" customHeight="1">
      <c r="C26" s="71" t="str">
        <f>IF('PK Zusammenfassung'!C32=0,"",'PK Zusammenfassung'!C32)</f>
        <v>Honorare</v>
      </c>
      <c r="D26" s="182" t="str">
        <f>'PK AN-Brutto'!W29</f>
        <v/>
      </c>
      <c r="E26" s="166"/>
      <c r="F26" s="166"/>
      <c r="G26" s="166"/>
      <c r="H26" s="166"/>
      <c r="I26" s="166"/>
      <c r="J26" s="166"/>
      <c r="K26" s="166"/>
      <c r="L26" s="223" t="str">
        <f>IF(D26="","",IF(M26="nur eine Option zur Altersversorg. möglich","FEHLER",SUM(D26,E26,F26,H26,J26,K26)))</f>
        <v/>
      </c>
      <c r="M26" s="267" t="str">
        <f>IF(COUNT(H26,I26,K26)&gt;1,"nur eine Option zur Altersversorg. möglich","")</f>
        <v/>
      </c>
      <c r="N26" s="197" t="s">
        <v>117</v>
      </c>
      <c r="O26" s="344"/>
      <c r="Q26" s="184" t="s">
        <v>126</v>
      </c>
      <c r="S26" s="199">
        <f>IF(T23-O26&gt;=0,T23-O26,0)</f>
        <v>0</v>
      </c>
    </row>
    <row r="27" spans="1:21" s="184" customFormat="1" ht="20.100000000000001" customHeight="1">
      <c r="C27" s="206"/>
      <c r="D27" s="210"/>
      <c r="E27" s="210"/>
      <c r="F27" s="183"/>
      <c r="G27" s="183"/>
      <c r="H27" s="183"/>
      <c r="I27" s="183"/>
      <c r="J27" s="183"/>
      <c r="K27" s="183"/>
      <c r="L27" s="208"/>
      <c r="N27" s="201" t="s">
        <v>131</v>
      </c>
      <c r="O27" s="343"/>
      <c r="Q27" s="202" t="s">
        <v>127</v>
      </c>
      <c r="R27" s="203"/>
      <c r="S27" s="204" t="str">
        <f>IF(O23="","",IF(T23&gt;=O26,O26/O23*O27,T23/O23*O27))</f>
        <v/>
      </c>
      <c r="T27" s="203"/>
    </row>
    <row r="28" spans="1:21" s="184" customFormat="1" ht="20.100000000000001" customHeight="1">
      <c r="A28" s="209"/>
      <c r="C28" s="194"/>
      <c r="D28" s="210"/>
      <c r="E28" s="210"/>
      <c r="F28" s="183"/>
      <c r="G28" s="183"/>
      <c r="H28" s="183"/>
      <c r="I28" s="183"/>
      <c r="J28" s="183"/>
      <c r="K28" s="183"/>
      <c r="L28" s="208"/>
      <c r="N28" s="197" t="s">
        <v>119</v>
      </c>
      <c r="O28" s="344"/>
      <c r="Q28" s="184" t="s">
        <v>128</v>
      </c>
      <c r="S28" s="199">
        <f>-O28</f>
        <v>0</v>
      </c>
    </row>
    <row r="29" spans="1:21" s="203" customFormat="1" ht="20.100000000000001" customHeight="1">
      <c r="A29" s="184"/>
      <c r="B29" s="184"/>
      <c r="C29" s="215"/>
      <c r="D29" s="210"/>
      <c r="E29" s="210"/>
      <c r="F29" s="210"/>
      <c r="G29" s="471"/>
      <c r="H29" s="210"/>
      <c r="I29" s="471"/>
      <c r="J29" s="514"/>
      <c r="K29" s="210"/>
      <c r="L29" s="514"/>
      <c r="M29" s="267"/>
      <c r="N29" s="184"/>
      <c r="O29" s="184"/>
      <c r="P29" s="184"/>
      <c r="Q29" s="184" t="s">
        <v>129</v>
      </c>
      <c r="R29" s="184"/>
      <c r="S29" s="198">
        <f>SUM(S26:S28)</f>
        <v>0</v>
      </c>
      <c r="T29" s="205">
        <f>ROUND(S29*O14,2)</f>
        <v>0</v>
      </c>
      <c r="U29" s="184"/>
    </row>
    <row r="30" spans="1:21" s="184" customFormat="1" ht="20.100000000000001" customHeight="1">
      <c r="C30" s="215"/>
      <c r="D30" s="210"/>
      <c r="E30" s="210"/>
      <c r="F30" s="210"/>
      <c r="G30" s="471"/>
      <c r="H30" s="210"/>
      <c r="I30" s="471"/>
      <c r="J30" s="514"/>
      <c r="K30" s="210"/>
      <c r="L30" s="514"/>
      <c r="M30" s="267"/>
      <c r="N30" s="197" t="s">
        <v>120</v>
      </c>
      <c r="O30" s="343"/>
      <c r="P30" s="203"/>
      <c r="Q30" s="184" t="s">
        <v>125</v>
      </c>
      <c r="S30" s="198">
        <f>S25</f>
        <v>0</v>
      </c>
      <c r="T30" s="198">
        <f>S30*O30</f>
        <v>0</v>
      </c>
    </row>
    <row r="31" spans="1:21" s="184" customFormat="1" ht="20.100000000000001" customHeight="1">
      <c r="C31" s="215"/>
      <c r="D31" s="210"/>
      <c r="E31" s="210"/>
      <c r="F31" s="210"/>
      <c r="G31" s="471"/>
      <c r="H31" s="210"/>
      <c r="I31" s="471"/>
      <c r="J31" s="514"/>
      <c r="K31" s="210"/>
      <c r="L31" s="514"/>
      <c r="M31" s="267"/>
      <c r="N31" s="197" t="s">
        <v>121</v>
      </c>
      <c r="O31" s="343"/>
      <c r="Q31" s="203"/>
      <c r="R31" s="203"/>
      <c r="S31" s="203"/>
      <c r="T31" s="211">
        <f>T30*O31</f>
        <v>0</v>
      </c>
      <c r="U31" s="203"/>
    </row>
    <row r="32" spans="1:21" s="184" customFormat="1" ht="20.100000000000001" customHeight="1">
      <c r="C32" s="215"/>
      <c r="D32" s="210"/>
      <c r="E32" s="210"/>
      <c r="F32" s="210"/>
      <c r="G32" s="210"/>
      <c r="H32" s="210"/>
      <c r="I32" s="210"/>
      <c r="J32" s="210"/>
      <c r="K32" s="210"/>
      <c r="L32" s="514"/>
      <c r="M32" s="267"/>
      <c r="N32" s="197" t="s">
        <v>122</v>
      </c>
      <c r="O32" s="343"/>
      <c r="T32" s="198">
        <f>T30*O32</f>
        <v>0</v>
      </c>
    </row>
    <row r="33" spans="1:21" s="184" customFormat="1" ht="20.100000000000001" customHeight="1">
      <c r="C33" s="215"/>
      <c r="D33" s="210"/>
      <c r="E33" s="210"/>
      <c r="F33" s="210"/>
      <c r="G33" s="210"/>
      <c r="H33" s="210"/>
      <c r="I33" s="210"/>
      <c r="J33" s="210"/>
      <c r="K33" s="210"/>
      <c r="L33" s="514"/>
      <c r="M33" s="267"/>
      <c r="N33" s="212" t="s">
        <v>133</v>
      </c>
      <c r="O33" s="345"/>
      <c r="Q33" s="184" t="s">
        <v>130</v>
      </c>
      <c r="T33" s="198">
        <f>T22*O33</f>
        <v>0</v>
      </c>
    </row>
    <row r="34" spans="1:21" s="184" customFormat="1" ht="20.100000000000001" customHeight="1" thickBot="1">
      <c r="T34" s="199">
        <f>SUM(T23:T33)</f>
        <v>0</v>
      </c>
    </row>
    <row r="35" spans="1:21" s="184" customFormat="1" ht="20.100000000000001" customHeight="1" thickBot="1">
      <c r="T35" s="213" t="str">
        <f>IF(T22="","",ROUND(T34/T22,4))</f>
        <v/>
      </c>
      <c r="U35" s="214"/>
    </row>
    <row r="36" spans="1:21" s="203" customFormat="1" ht="20.100000000000001" customHeight="1">
      <c r="N36" s="215"/>
      <c r="O36" s="216"/>
    </row>
    <row r="37" spans="1:21" s="184" customFormat="1" ht="20.100000000000001" customHeight="1"/>
    <row r="38" spans="1:21" s="184" customFormat="1" ht="20.100000000000001" customHeight="1"/>
    <row r="39" spans="1:21" s="184" customFormat="1" ht="20.100000000000001" customHeight="1"/>
    <row r="40" spans="1:21" s="184" customFormat="1" ht="20.100000000000001" customHeight="1"/>
    <row r="41" spans="1:21" s="184" customFormat="1" ht="20.100000000000001" customHeight="1"/>
    <row r="42" spans="1:21" s="184" customFormat="1" ht="20.100000000000001" customHeight="1">
      <c r="C42" s="206"/>
      <c r="F42" s="183"/>
      <c r="G42" s="183"/>
      <c r="H42" s="183"/>
      <c r="I42" s="183"/>
      <c r="J42" s="183"/>
      <c r="K42" s="183"/>
      <c r="L42" s="208"/>
    </row>
    <row r="43" spans="1:21">
      <c r="A43" s="184"/>
      <c r="B43" s="184"/>
      <c r="C43" s="184"/>
      <c r="D43" s="184"/>
      <c r="E43" s="184"/>
      <c r="F43" s="184"/>
      <c r="G43" s="184"/>
      <c r="H43" s="184"/>
      <c r="I43" s="184"/>
      <c r="J43" s="184"/>
      <c r="K43" s="184"/>
      <c r="L43" s="184"/>
      <c r="M43" s="184"/>
      <c r="N43" s="218"/>
      <c r="O43" s="218"/>
    </row>
    <row r="44" spans="1:21" ht="15">
      <c r="F44" s="185"/>
      <c r="G44" s="185"/>
      <c r="H44" s="185"/>
      <c r="I44" s="185"/>
      <c r="J44" s="185"/>
      <c r="K44" s="185"/>
      <c r="L44" s="185"/>
      <c r="M44" s="185"/>
      <c r="N44" s="184"/>
      <c r="O44" s="184"/>
    </row>
    <row r="45" spans="1:21" ht="15">
      <c r="N45" s="185"/>
      <c r="O45" s="185"/>
    </row>
  </sheetData>
  <sheetProtection algorithmName="SHA-512" hashValue="9X7kTA/JiDRxv5CqFJKnFr+LQ+wTGxHjYN0N6zo1vbSEnTrdJYTySwb6cAuYgF1m8+8TVTh782+jIconww233g==" saltValue="pB1+F6655HM11KI6um0bpw==" spinCount="100000" sheet="1" objects="1" scenarios="1"/>
  <mergeCells count="6">
    <mergeCell ref="Q22:S22"/>
    <mergeCell ref="D2:D3"/>
    <mergeCell ref="C2:C3"/>
    <mergeCell ref="L2:L3"/>
    <mergeCell ref="G2:H2"/>
    <mergeCell ref="I2:K2"/>
  </mergeCells>
  <pageMargins left="0.70866141732283472" right="0.70866141732283472" top="0.74803149606299213" bottom="0.74803149606299213" header="0.31496062992125984" footer="0.31496062992125984"/>
  <pageSetup paperSize="9" scale="85" fitToHeight="0" orientation="landscape" r:id="rId1"/>
  <headerFooter>
    <oddFooter>&amp;L&amp;"Arial,Standard"&amp;8Datum des Ausdrucks
&amp;D&amp;C&amp;"Arial,Standard"&amp;8Kalkulationsdatei (Version 1.0) 
Assistenzleistungen und Teilhabe an Bildung&amp;R&amp;"Arial,Standard"&amp;8Seite &amp;P von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0" id="{BD7F0242-D80B-4960-AE63-6DF12F77F011}">
            <xm:f>Kalkulationsblatt!$E$23="Teilhabe an Bildung"</xm:f>
            <x14:dxf>
              <fill>
                <patternFill>
                  <bgColor theme="7" tint="0.79998168889431442"/>
                </patternFill>
              </fill>
            </x14:dxf>
          </x14:cfRule>
          <xm:sqref>E3 I6:I10 K6:K10 K18:K19 I18:I19 I22:I25 K22:K25 O23:O28 O30:O33 O18 T22 O7:O13</xm:sqref>
        </x14:conditionalFormatting>
        <x14:conditionalFormatting xmlns:xm="http://schemas.microsoft.com/office/excel/2006/main">
          <x14:cfRule type="expression" priority="9" id="{0B4FC249-A2E6-44F3-9D71-BBF184CEF3C6}">
            <xm:f>Kalkulationsblatt!$E$23="sonstige Kräfte"</xm:f>
            <x14:dxf>
              <fill>
                <patternFill>
                  <bgColor theme="6" tint="0.79998168889431442"/>
                </patternFill>
              </fill>
            </x14:dxf>
          </x14:cfRule>
          <xm:sqref>E3 I6:I10 K6:K10 O18 I18:I19 K18:K19 I22:I25 K22:K25 O23:O28 O30:O33 T22 O7:O13</xm:sqref>
        </x14:conditionalFormatting>
        <x14:conditionalFormatting xmlns:xm="http://schemas.microsoft.com/office/excel/2006/main">
          <x14:cfRule type="expression" priority="8" id="{6EDDFD57-1827-4D6B-919C-293DD65539EB}">
            <xm:f>Kalkulationsblatt!$E$23="Teilhabe an Bildung"</xm:f>
            <x14:dxf>
              <fill>
                <patternFill>
                  <bgColor theme="7" tint="0.79998168889431442"/>
                </patternFill>
              </fill>
            </x14:dxf>
          </x14:cfRule>
          <xm:sqref>I11 K11</xm:sqref>
        </x14:conditionalFormatting>
        <x14:conditionalFormatting xmlns:xm="http://schemas.microsoft.com/office/excel/2006/main">
          <x14:cfRule type="expression" priority="7" id="{9CF06681-E230-4E4F-BCFA-A35E3B73054C}">
            <xm:f>Kalkulationsblatt!$E$23="sonstige Kräfte"</xm:f>
            <x14:dxf>
              <fill>
                <patternFill>
                  <bgColor theme="6" tint="0.79998168889431442"/>
                </patternFill>
              </fill>
            </x14:dxf>
          </x14:cfRule>
          <xm:sqref>I11 K11</xm:sqref>
        </x14:conditionalFormatting>
        <x14:conditionalFormatting xmlns:xm="http://schemas.microsoft.com/office/excel/2006/main">
          <x14:cfRule type="expression" priority="6" id="{5C99B20B-3456-4AF9-A1B0-C1A58CCD25CE}">
            <xm:f>Kalkulationsblatt!$E$23="Teilhabe an Bildung"</xm:f>
            <x14:dxf>
              <fill>
                <patternFill>
                  <bgColor theme="7" tint="0.79998168889431442"/>
                </patternFill>
              </fill>
            </x14:dxf>
          </x14:cfRule>
          <xm:sqref>I12 K12</xm:sqref>
        </x14:conditionalFormatting>
        <x14:conditionalFormatting xmlns:xm="http://schemas.microsoft.com/office/excel/2006/main">
          <x14:cfRule type="expression" priority="5" id="{CD5F1671-66C9-421D-B827-3D60DCEF065A}">
            <xm:f>Kalkulationsblatt!$E$23="sonstige Kräfte"</xm:f>
            <x14:dxf>
              <fill>
                <patternFill>
                  <bgColor theme="6" tint="0.79998168889431442"/>
                </patternFill>
              </fill>
            </x14:dxf>
          </x14:cfRule>
          <xm:sqref>I12 K12</xm:sqref>
        </x14:conditionalFormatting>
        <x14:conditionalFormatting xmlns:xm="http://schemas.microsoft.com/office/excel/2006/main">
          <x14:cfRule type="expression" priority="4" id="{74A88D90-A60A-4AD9-A650-265A92CA7F96}">
            <xm:f>Kalkulationsblatt!$E$23="Teilhabe an Bildung"</xm:f>
            <x14:dxf>
              <fill>
                <patternFill>
                  <bgColor theme="7" tint="0.79998168889431442"/>
                </patternFill>
              </fill>
            </x14:dxf>
          </x14:cfRule>
          <xm:sqref>I13 K13</xm:sqref>
        </x14:conditionalFormatting>
        <x14:conditionalFormatting xmlns:xm="http://schemas.microsoft.com/office/excel/2006/main">
          <x14:cfRule type="expression" priority="3" id="{15C03432-09D9-49F1-9416-3CF2149998A2}">
            <xm:f>Kalkulationsblatt!$E$23="sonstige Kräfte"</xm:f>
            <x14:dxf>
              <fill>
                <patternFill>
                  <bgColor theme="6" tint="0.79998168889431442"/>
                </patternFill>
              </fill>
            </x14:dxf>
          </x14:cfRule>
          <xm:sqref>I13 K13</xm:sqref>
        </x14:conditionalFormatting>
        <x14:conditionalFormatting xmlns:xm="http://schemas.microsoft.com/office/excel/2006/main">
          <x14:cfRule type="expression" priority="2" id="{19246509-D372-4F6F-8CC2-67E759C8F1BD}">
            <xm:f>'PK Zusammenfassung'!$F$22&gt;0</xm:f>
            <x14:dxf>
              <font>
                <color theme="0"/>
              </font>
              <fill>
                <patternFill>
                  <bgColor theme="0"/>
                </patternFill>
              </fill>
              <border>
                <left/>
                <right/>
                <top/>
                <bottom/>
                <vertical/>
                <horizontal/>
              </border>
            </x14:dxf>
          </x14:cfRule>
          <xm:sqref>A17:L19</xm:sqref>
        </x14:conditionalFormatting>
        <x14:conditionalFormatting xmlns:xm="http://schemas.microsoft.com/office/excel/2006/main">
          <x14:cfRule type="expression" priority="1" id="{9FCA91D7-E677-427D-AFBE-75A8C0CA2FD6}">
            <xm:f>'PK Zusammenfassung'!$F$27&gt;0</xm:f>
            <x14:dxf>
              <font>
                <color theme="0"/>
              </font>
              <fill>
                <patternFill>
                  <bgColor theme="0"/>
                </patternFill>
              </fill>
              <border>
                <left/>
                <right/>
                <top/>
                <bottom/>
                <vertical/>
                <horizontal/>
              </border>
            </x14:dxf>
          </x14:cfRule>
          <xm:sqref>A21:L26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I35"/>
  <sheetViews>
    <sheetView showGridLines="0" zoomScaleNormal="100" workbookViewId="0">
      <selection activeCell="A8" sqref="A8"/>
    </sheetView>
  </sheetViews>
  <sheetFormatPr baseColWidth="10" defaultColWidth="11.42578125" defaultRowHeight="14.25"/>
  <cols>
    <col min="1" max="1" width="45.7109375" style="152" customWidth="1"/>
    <col min="2" max="2" width="8.28515625" style="152" customWidth="1"/>
    <col min="3" max="3" width="21.140625" style="152" customWidth="1"/>
    <col min="4" max="4" width="18.5703125" style="152" customWidth="1"/>
    <col min="5" max="5" width="11" style="152" customWidth="1"/>
    <col min="6" max="6" width="21.5703125" style="152" customWidth="1"/>
    <col min="7" max="7" width="7.140625" style="152" customWidth="1"/>
    <col min="8" max="8" width="11.42578125" style="152"/>
    <col min="9" max="9" width="13" style="152" bestFit="1" customWidth="1"/>
    <col min="10" max="16384" width="11.42578125" style="152"/>
  </cols>
  <sheetData>
    <row r="1" spans="1:6" ht="27.6" customHeight="1">
      <c r="A1" s="494" t="str">
        <f>"Kalkulation "&amp;TEXT(Kalkulationsblatt!E23,"")&amp;" "&amp;TEXT(Kalkulationsblatt!C4,"")&amp;" für den Zeitraum von "&amp;TEXT(Kalkulationsblatt!B21,"TT. MMMM JJJJ")&amp;" bis zum "&amp;TEXT(Kalkulationsblatt!E21,"TT. MMMM JJJJ")&amp;""</f>
        <v>Kalkulation   für den Zeitraum von 00. Januar 1900 bis zum 00. Januar 1900</v>
      </c>
    </row>
    <row r="2" spans="1:6" ht="18">
      <c r="A2" s="139" t="s">
        <v>260</v>
      </c>
      <c r="B2" s="129"/>
      <c r="C2" s="129"/>
      <c r="D2" s="129"/>
      <c r="E2" s="128"/>
      <c r="F2" s="128"/>
    </row>
    <row r="3" spans="1:6" ht="15">
      <c r="A3" s="173"/>
      <c r="B3" s="129"/>
      <c r="C3" s="129"/>
      <c r="D3" s="129"/>
      <c r="E3" s="128"/>
      <c r="F3" s="128"/>
    </row>
    <row r="4" spans="1:6" s="153" customFormat="1" ht="15.75" thickBot="1">
      <c r="A4" s="154"/>
      <c r="B4" s="155"/>
      <c r="C4" s="154"/>
      <c r="D4" s="154"/>
      <c r="E4" s="155"/>
      <c r="F4" s="155"/>
    </row>
    <row r="5" spans="1:6" ht="15" customHeight="1">
      <c r="A5" s="727" t="s">
        <v>104</v>
      </c>
      <c r="B5" s="730" t="s">
        <v>105</v>
      </c>
      <c r="C5" s="733" t="s">
        <v>106</v>
      </c>
      <c r="D5" s="733" t="s">
        <v>161</v>
      </c>
      <c r="E5" s="736" t="s">
        <v>107</v>
      </c>
      <c r="F5" s="720" t="s">
        <v>112</v>
      </c>
    </row>
    <row r="6" spans="1:6" ht="15" customHeight="1">
      <c r="A6" s="728"/>
      <c r="B6" s="731"/>
      <c r="C6" s="734"/>
      <c r="D6" s="734"/>
      <c r="E6" s="737"/>
      <c r="F6" s="721"/>
    </row>
    <row r="7" spans="1:6" ht="15.75" customHeight="1" thickBot="1">
      <c r="A7" s="729"/>
      <c r="B7" s="732"/>
      <c r="C7" s="735"/>
      <c r="D7" s="735"/>
      <c r="E7" s="738"/>
      <c r="F7" s="722"/>
    </row>
    <row r="8" spans="1:6" ht="20.100000000000001" customHeight="1">
      <c r="A8" s="318"/>
      <c r="B8" s="319"/>
      <c r="C8" s="320"/>
      <c r="D8" s="174" t="str">
        <f t="shared" ref="D8:D22" si="0">IF(B8&gt;0,(C8*B8),"")</f>
        <v/>
      </c>
      <c r="E8" s="326"/>
      <c r="F8" s="175" t="str">
        <f t="shared" ref="F8:F14" si="1">IF(E8="","",D8/E8)</f>
        <v/>
      </c>
    </row>
    <row r="9" spans="1:6" ht="20.100000000000001" customHeight="1">
      <c r="A9" s="321"/>
      <c r="B9" s="322"/>
      <c r="C9" s="323"/>
      <c r="D9" s="174" t="str">
        <f t="shared" si="0"/>
        <v/>
      </c>
      <c r="E9" s="327"/>
      <c r="F9" s="175" t="str">
        <f t="shared" si="1"/>
        <v/>
      </c>
    </row>
    <row r="10" spans="1:6" ht="20.100000000000001" customHeight="1">
      <c r="A10" s="321"/>
      <c r="B10" s="322"/>
      <c r="C10" s="323"/>
      <c r="D10" s="174" t="str">
        <f t="shared" si="0"/>
        <v/>
      </c>
      <c r="E10" s="327"/>
      <c r="F10" s="175" t="str">
        <f t="shared" si="1"/>
        <v/>
      </c>
    </row>
    <row r="11" spans="1:6" ht="20.100000000000001" customHeight="1">
      <c r="A11" s="321"/>
      <c r="B11" s="322"/>
      <c r="C11" s="323"/>
      <c r="D11" s="174" t="str">
        <f t="shared" si="0"/>
        <v/>
      </c>
      <c r="E11" s="327"/>
      <c r="F11" s="175" t="str">
        <f t="shared" si="1"/>
        <v/>
      </c>
    </row>
    <row r="12" spans="1:6" ht="20.100000000000001" customHeight="1">
      <c r="A12" s="321"/>
      <c r="B12" s="322"/>
      <c r="C12" s="323"/>
      <c r="D12" s="174" t="str">
        <f t="shared" si="0"/>
        <v/>
      </c>
      <c r="E12" s="327"/>
      <c r="F12" s="175" t="str">
        <f t="shared" si="1"/>
        <v/>
      </c>
    </row>
    <row r="13" spans="1:6" ht="20.100000000000001" customHeight="1">
      <c r="A13" s="321"/>
      <c r="B13" s="322"/>
      <c r="C13" s="323"/>
      <c r="D13" s="174" t="str">
        <f t="shared" si="0"/>
        <v/>
      </c>
      <c r="E13" s="328"/>
      <c r="F13" s="175" t="str">
        <f t="shared" si="1"/>
        <v/>
      </c>
    </row>
    <row r="14" spans="1:6" ht="20.100000000000001" customHeight="1">
      <c r="A14" s="321"/>
      <c r="B14" s="322"/>
      <c r="C14" s="323"/>
      <c r="D14" s="174" t="str">
        <f t="shared" si="0"/>
        <v/>
      </c>
      <c r="E14" s="328"/>
      <c r="F14" s="175" t="str">
        <f t="shared" si="1"/>
        <v/>
      </c>
    </row>
    <row r="15" spans="1:6" ht="20.100000000000001" customHeight="1">
      <c r="A15" s="321"/>
      <c r="B15" s="322"/>
      <c r="C15" s="323"/>
      <c r="D15" s="174" t="str">
        <f t="shared" si="0"/>
        <v/>
      </c>
      <c r="E15" s="328"/>
      <c r="F15" s="175" t="str">
        <f>IF(E15="","",D15/E15)</f>
        <v/>
      </c>
    </row>
    <row r="16" spans="1:6" ht="20.100000000000001" customHeight="1">
      <c r="A16" s="321"/>
      <c r="B16" s="322"/>
      <c r="C16" s="323"/>
      <c r="D16" s="174" t="str">
        <f t="shared" si="0"/>
        <v/>
      </c>
      <c r="E16" s="328"/>
      <c r="F16" s="175" t="str">
        <f t="shared" ref="F16:F22" si="2">IF(E16="","",D16/E16)</f>
        <v/>
      </c>
    </row>
    <row r="17" spans="1:9" ht="20.100000000000001" customHeight="1">
      <c r="A17" s="321"/>
      <c r="B17" s="322"/>
      <c r="C17" s="323"/>
      <c r="D17" s="174" t="str">
        <f t="shared" si="0"/>
        <v/>
      </c>
      <c r="E17" s="327"/>
      <c r="F17" s="175" t="str">
        <f t="shared" si="2"/>
        <v/>
      </c>
    </row>
    <row r="18" spans="1:9" ht="20.100000000000001" customHeight="1">
      <c r="A18" s="321"/>
      <c r="B18" s="322"/>
      <c r="C18" s="323"/>
      <c r="D18" s="174" t="str">
        <f t="shared" si="0"/>
        <v/>
      </c>
      <c r="E18" s="327"/>
      <c r="F18" s="175" t="str">
        <f t="shared" si="2"/>
        <v/>
      </c>
    </row>
    <row r="19" spans="1:9" ht="20.100000000000001" customHeight="1">
      <c r="A19" s="321"/>
      <c r="B19" s="322"/>
      <c r="C19" s="323"/>
      <c r="D19" s="174" t="str">
        <f t="shared" si="0"/>
        <v/>
      </c>
      <c r="E19" s="327"/>
      <c r="F19" s="175" t="str">
        <f t="shared" si="2"/>
        <v/>
      </c>
    </row>
    <row r="20" spans="1:9" ht="20.100000000000001" customHeight="1">
      <c r="A20" s="321"/>
      <c r="B20" s="322"/>
      <c r="C20" s="323"/>
      <c r="D20" s="174" t="str">
        <f t="shared" si="0"/>
        <v/>
      </c>
      <c r="E20" s="327"/>
      <c r="F20" s="175" t="str">
        <f t="shared" si="2"/>
        <v/>
      </c>
    </row>
    <row r="21" spans="1:9" ht="20.100000000000001" customHeight="1">
      <c r="A21" s="321"/>
      <c r="B21" s="322"/>
      <c r="C21" s="324"/>
      <c r="D21" s="174" t="str">
        <f t="shared" si="0"/>
        <v/>
      </c>
      <c r="E21" s="327"/>
      <c r="F21" s="175" t="str">
        <f t="shared" si="2"/>
        <v/>
      </c>
    </row>
    <row r="22" spans="1:9" ht="20.100000000000001" customHeight="1">
      <c r="A22" s="321"/>
      <c r="B22" s="325"/>
      <c r="C22" s="323"/>
      <c r="D22" s="174" t="str">
        <f t="shared" si="0"/>
        <v/>
      </c>
      <c r="E22" s="327"/>
      <c r="F22" s="175" t="str">
        <f t="shared" si="2"/>
        <v/>
      </c>
    </row>
    <row r="23" spans="1:9" ht="20.100000000000001" customHeight="1">
      <c r="A23" s="133" t="s">
        <v>108</v>
      </c>
      <c r="B23" s="723"/>
      <c r="C23" s="724"/>
      <c r="D23" s="132">
        <f>SUM(D8:D22)</f>
        <v>0</v>
      </c>
      <c r="E23" s="130"/>
      <c r="F23" s="134">
        <f>SUM(F8:F22)</f>
        <v>0</v>
      </c>
      <c r="I23" s="156"/>
    </row>
    <row r="24" spans="1:9" ht="20.100000000000001" customHeight="1" thickBot="1">
      <c r="A24" s="133" t="s">
        <v>109</v>
      </c>
      <c r="B24" s="723"/>
      <c r="C24" s="724"/>
      <c r="D24" s="323"/>
      <c r="E24" s="131"/>
      <c r="F24" s="329"/>
      <c r="I24" s="156"/>
    </row>
    <row r="25" spans="1:9" ht="20.100000000000001" customHeight="1" thickBot="1">
      <c r="A25" s="135" t="s">
        <v>4</v>
      </c>
      <c r="B25" s="725"/>
      <c r="C25" s="726"/>
      <c r="D25" s="136">
        <f>D23+D24</f>
        <v>0</v>
      </c>
      <c r="E25" s="137"/>
      <c r="F25" s="138">
        <f>F23+F24</f>
        <v>0</v>
      </c>
      <c r="I25" s="156"/>
    </row>
    <row r="28" spans="1:9" ht="15">
      <c r="A28" s="157"/>
    </row>
    <row r="29" spans="1:9">
      <c r="C29" s="156"/>
      <c r="D29" s="156"/>
      <c r="E29" s="158"/>
      <c r="F29" s="156"/>
    </row>
    <row r="30" spans="1:9">
      <c r="C30" s="156"/>
      <c r="D30" s="156"/>
      <c r="E30" s="158"/>
      <c r="F30" s="156"/>
    </row>
    <row r="31" spans="1:9" ht="15">
      <c r="A31" s="157"/>
      <c r="B31" s="157"/>
      <c r="C31" s="159"/>
      <c r="D31" s="159"/>
      <c r="E31" s="160"/>
      <c r="F31" s="159"/>
    </row>
    <row r="32" spans="1:9">
      <c r="B32" s="161"/>
      <c r="C32" s="156"/>
      <c r="D32" s="156"/>
      <c r="F32" s="156"/>
    </row>
    <row r="33" spans="1:6" ht="15">
      <c r="A33" s="157"/>
      <c r="C33" s="156"/>
      <c r="F33" s="156"/>
    </row>
    <row r="35" spans="1:6">
      <c r="C35" s="156"/>
    </row>
  </sheetData>
  <sheetProtection algorithmName="SHA-512" hashValue="GFlfXPRsZsJSLEgpfCIzxctOWOwJ3IAn1g/7Tq52WfeMRlAUSXHFRDCgqzw0KdeM9roqNoxtTZVlwZ4Q8Yyx9g==" saltValue="u+gmyjxwqH+X5IB0ijkzQg==" spinCount="100000" sheet="1" objects="1" scenarios="1"/>
  <mergeCells count="9">
    <mergeCell ref="F5:F7"/>
    <mergeCell ref="B23:C23"/>
    <mergeCell ref="B24:C24"/>
    <mergeCell ref="B25:C25"/>
    <mergeCell ref="A5:A7"/>
    <mergeCell ref="B5:B7"/>
    <mergeCell ref="C5:C7"/>
    <mergeCell ref="D5:D7"/>
    <mergeCell ref="E5:E7"/>
  </mergeCells>
  <printOptions horizontalCentered="1"/>
  <pageMargins left="0.70866141732283472" right="0.70866141732283472" top="0.74803149606299213" bottom="0.94488188976377963" header="0.31496062992125984" footer="0.31496062992125984"/>
  <pageSetup paperSize="9" scale="97" orientation="landscape" r:id="rId1"/>
  <headerFooter>
    <oddFooter>&amp;L&amp;"Arial,Standard"&amp;8Datum des Ausdrucks
&amp;D&amp;C&amp;"Arial,Standard"&amp;8Kalkulationsdatei (Version 1.0) 
Assistenzleistungen und Teilhabe an Bildung&amp;R&amp;"Arial,Standard"&amp;8Seite &amp;P von &amp;N</oddFooter>
  </headerFooter>
  <extLst>
    <ext xmlns:x14="http://schemas.microsoft.com/office/spreadsheetml/2009/9/main" uri="{78C0D931-6437-407d-A8EE-F0AAD7539E65}">
      <x14:conditionalFormattings>
        <x14:conditionalFormatting xmlns:xm="http://schemas.microsoft.com/office/excel/2006/main">
          <x14:cfRule type="expression" priority="2" id="{06D6CA29-8888-46D1-A57E-F4F3D22124F1}">
            <xm:f>Kalkulationsblatt!$E$23="sonstige Kräfte"</xm:f>
            <x14:dxf>
              <fill>
                <patternFill>
                  <bgColor theme="6" tint="0.79998168889431442"/>
                </patternFill>
              </fill>
            </x14:dxf>
          </x14:cfRule>
          <x14:cfRule type="expression" priority="3" id="{EBBF826A-D314-4609-96AC-0A6C0DE6E26B}">
            <xm:f>Kalkulationsblatt!$E$23="Teilhabe an Bildung"</xm:f>
            <x14:dxf>
              <fill>
                <patternFill>
                  <bgColor theme="7" tint="0.79998168889431442"/>
                </patternFill>
              </fill>
            </x14:dxf>
          </x14:cfRule>
          <xm:sqref>A8:C22 E8:E22 D24 F24</xm:sqref>
        </x14:conditionalFormatting>
        <x14:conditionalFormatting xmlns:xm="http://schemas.microsoft.com/office/excel/2006/main">
          <x14:cfRule type="expression" priority="1" id="{4AFE9DA6-281F-4039-B811-7241A5ECC5A8}">
            <xm:f>Kalkulationsblatt!$I$49&gt;0</xm:f>
            <x14:dxf>
              <font>
                <color theme="0"/>
              </font>
              <fill>
                <patternFill>
                  <bgColor theme="0"/>
                </patternFill>
              </fill>
              <border>
                <left/>
                <right/>
                <top/>
                <bottom/>
                <vertical/>
                <horizontal/>
              </border>
            </x14:dxf>
          </x14:cfRule>
          <xm:sqref>A1:G27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F9CD63C83D4944B96399668F9354EAC" ma:contentTypeVersion="16" ma:contentTypeDescription="Ein neues Dokument erstellen." ma:contentTypeScope="" ma:versionID="024c5d99b6f1ccd3c921ec666bd9db3e">
  <xsd:schema xmlns:xsd="http://www.w3.org/2001/XMLSchema" xmlns:xs="http://www.w3.org/2001/XMLSchema" xmlns:p="http://schemas.microsoft.com/office/2006/metadata/properties" xmlns:ns2="a1419954-bd6f-4dce-b4af-8787c162c280" xmlns:ns3="76f8f2a2-e9c4-48f1-9423-ca89d6a3feef" targetNamespace="http://schemas.microsoft.com/office/2006/metadata/properties" ma:root="true" ma:fieldsID="e5724efd94c0797eccfc6a5497b5f983" ns2:_="" ns3:_="">
    <xsd:import namespace="a1419954-bd6f-4dce-b4af-8787c162c280"/>
    <xsd:import namespace="76f8f2a2-e9c4-48f1-9423-ca89d6a3fee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19954-bd6f-4dce-b4af-8787c162c2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c11c1a26-9873-47fc-9be9-f6602febf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f8f2a2-e9c4-48f1-9423-ca89d6a3feef"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89d03401-ad70-46bd-a7b9-3720f200e212}" ma:internalName="TaxCatchAll" ma:showField="CatchAllData" ma:web="76f8f2a2-e9c4-48f1-9423-ca89d6a3fe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1445A-32CF-4903-A8C1-414CF2AAD8CA}"/>
</file>

<file path=customXml/itemProps2.xml><?xml version="1.0" encoding="utf-8"?>
<ds:datastoreItem xmlns:ds="http://schemas.openxmlformats.org/officeDocument/2006/customXml" ds:itemID="{7C3D6EC2-6DAE-464C-97FC-E932154F876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8</vt:i4>
      </vt:variant>
    </vt:vector>
  </HeadingPairs>
  <TitlesOfParts>
    <vt:vector size="15" baseType="lpstr">
      <vt:lpstr>Kalkulationsblatt</vt:lpstr>
      <vt:lpstr>PK Zusammenfassung</vt:lpstr>
      <vt:lpstr>Berechnung verfügbare AZ</vt:lpstr>
      <vt:lpstr>PK AN-Brutto</vt:lpstr>
      <vt:lpstr>PK Zeitzuschläge</vt:lpstr>
      <vt:lpstr>PK AG_Brutto</vt:lpstr>
      <vt:lpstr>Anlagenverzeichnis</vt:lpstr>
      <vt:lpstr>Kalkulationsblatt!Druckbereich</vt:lpstr>
      <vt:lpstr>'PK AG_Brutto'!Druckbereich</vt:lpstr>
      <vt:lpstr>'PK AN-Brutto'!Druckbereich</vt:lpstr>
      <vt:lpstr>'PK Zeitzuschläge'!Druckbereich</vt:lpstr>
      <vt:lpstr>'PK Zusammenfassung'!Druckbereich</vt:lpstr>
      <vt:lpstr>'PK AG_Brutto'!Drucktitel</vt:lpstr>
      <vt:lpstr>'PK AN-Brutto'!Drucktitel</vt:lpstr>
      <vt:lpstr>'PK Zusammenfassung'!Drucktitel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Gerland;Hißnauer, Stefan (bpa)</dc:creator>
  <cp:lastModifiedBy>Hißnauer, Stefan (bpa)</cp:lastModifiedBy>
  <cp:lastPrinted>2023-03-14T13:22:06Z</cp:lastPrinted>
  <dcterms:created xsi:type="dcterms:W3CDTF">2015-08-23T16:55:37Z</dcterms:created>
  <dcterms:modified xsi:type="dcterms:W3CDTF">2023-11-23T07:18:42Z</dcterms:modified>
</cp:coreProperties>
</file>